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1" activeTab="1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  <sheet name="SU A0800" sheetId="122" r:id="rId99"/>
    <sheet name="SU 08001" sheetId="123" r:id="rId100"/>
    <sheet name="SU 08002" sheetId="124" r:id="rId101"/>
    <sheet name="dSU 08002" sheetId="125" r:id="rId102"/>
    <sheet name="SU 08003" sheetId="126" r:id="rId103"/>
    <sheet name="SU A0900" sheetId="127" r:id="rId104"/>
    <sheet name="SU 09001" sheetId="128" r:id="rId105"/>
    <sheet name="SU 09002" sheetId="129" r:id="rId106"/>
    <sheet name="dSU 09002" sheetId="131" r:id="rId107"/>
    <sheet name="SU 09003" sheetId="130" r:id="rId108"/>
    <sheet name="dSU 09003" sheetId="134" r:id="rId109"/>
    <sheet name="SU 09004" sheetId="133" r:id="rId110"/>
    <sheet name="dSU 09004" sheetId="132" r:id="rId111"/>
    <sheet name="SU A1000" sheetId="135" r:id="rId112"/>
    <sheet name="SU 10001" sheetId="136" r:id="rId113"/>
    <sheet name="dSU 10001" sheetId="137" r:id="rId114"/>
    <sheet name="SU 10002" sheetId="138" r:id="rId115"/>
    <sheet name="dSU 10002" sheetId="139" r:id="rId116"/>
    <sheet name="SU 10003" sheetId="140" r:id="rId117"/>
    <sheet name="dSU 10003" sheetId="141" r:id="rId118"/>
    <sheet name="SU 10004" sheetId="142" r:id="rId119"/>
    <sheet name="dSU 10004" sheetId="143" r:id="rId120"/>
    <sheet name="SU 10005" sheetId="144" r:id="rId121"/>
    <sheet name="dSU 10005" sheetId="145" r:id="rId122"/>
    <sheet name="SU A1100 " sheetId="146" r:id="rId123"/>
    <sheet name="SU 11001" sheetId="147" r:id="rId124"/>
    <sheet name="dSU 11001" sheetId="148" r:id="rId125"/>
    <sheet name="SU 11002" sheetId="149" r:id="rId126"/>
    <sheet name="dSU 11002" sheetId="150" r:id="rId127"/>
    <sheet name="SU 11003" sheetId="151" r:id="rId128"/>
    <sheet name="dSU 11003" sheetId="152" r:id="rId129"/>
    <sheet name="SU 11004" sheetId="153" r:id="rId130"/>
    <sheet name="dSU 11004" sheetId="154" r:id="rId131"/>
  </sheets>
  <externalReferences>
    <externalReference r:id="rId132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'!$J$34</definedName>
    <definedName name="SU_A1100_p">'SU A1100 '!$I$30</definedName>
    <definedName name="SU_A1100_pa">'SU A1100 '!$E$14</definedName>
    <definedName name="SU_A1100_q">'SU A1100 '!$N$3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B4" i="153" l="1"/>
  <c r="B4" i="151"/>
  <c r="B4" i="149"/>
  <c r="N2" i="153"/>
  <c r="N2" i="149"/>
  <c r="N2" i="147"/>
  <c r="C13" i="146"/>
  <c r="C12" i="146"/>
  <c r="C11" i="146"/>
  <c r="C10" i="146"/>
  <c r="L79" i="8"/>
  <c r="J83" i="8"/>
  <c r="J82" i="8"/>
  <c r="J81" i="8"/>
  <c r="J80" i="8"/>
  <c r="K83" i="8"/>
  <c r="K82" i="8"/>
  <c r="K81" i="8"/>
  <c r="K80" i="8"/>
  <c r="K79" i="8"/>
  <c r="I83" i="8"/>
  <c r="I82" i="8"/>
  <c r="I81" i="8"/>
  <c r="I80" i="8"/>
  <c r="I79" i="8"/>
  <c r="E81" i="8"/>
  <c r="E82" i="8"/>
  <c r="E83" i="8"/>
  <c r="E80" i="8"/>
  <c r="F83" i="8"/>
  <c r="F82" i="8"/>
  <c r="F81" i="8"/>
  <c r="F79" i="8"/>
  <c r="F80" i="8"/>
  <c r="C83" i="8"/>
  <c r="C82" i="8"/>
  <c r="C81" i="8"/>
  <c r="C80" i="8"/>
  <c r="C79" i="8"/>
  <c r="H83" i="8"/>
  <c r="N83" i="8"/>
  <c r="B83" i="8"/>
  <c r="H82" i="8"/>
  <c r="N82" i="8"/>
  <c r="B82" i="8"/>
  <c r="H81" i="8"/>
  <c r="N81" i="8"/>
  <c r="B81" i="8"/>
  <c r="H80" i="8"/>
  <c r="N80" i="8"/>
  <c r="B80" i="8"/>
  <c r="H79" i="8"/>
  <c r="N79" i="8"/>
  <c r="B79" i="8"/>
  <c r="N2" i="151"/>
  <c r="E10" i="146"/>
  <c r="E11" i="146"/>
  <c r="E13" i="146"/>
  <c r="E14" i="146"/>
  <c r="N2" i="146"/>
  <c r="H15" i="153"/>
  <c r="I15" i="153"/>
  <c r="I16" i="153"/>
  <c r="I17" i="153"/>
  <c r="J11" i="153"/>
  <c r="E11" i="153"/>
  <c r="N11" i="153"/>
  <c r="N12" i="153"/>
  <c r="N5" i="153"/>
  <c r="B3" i="153"/>
  <c r="I15" i="151"/>
  <c r="I16" i="151"/>
  <c r="I18" i="151"/>
  <c r="I17" i="151"/>
  <c r="J11" i="151"/>
  <c r="E11" i="151"/>
  <c r="N11" i="151"/>
  <c r="N12" i="151"/>
  <c r="N5" i="151"/>
  <c r="B3" i="151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5" i="149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5" i="147"/>
  <c r="B4" i="147"/>
  <c r="B3" i="147"/>
  <c r="D33" i="146"/>
  <c r="J33" i="146"/>
  <c r="J34" i="146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I30" i="146"/>
  <c r="D10" i="146"/>
  <c r="D13" i="146"/>
  <c r="D12" i="146"/>
  <c r="E12" i="146"/>
  <c r="D11" i="146"/>
  <c r="B10" i="146"/>
  <c r="N5" i="146"/>
  <c r="N2" i="138"/>
  <c r="C11" i="135"/>
  <c r="E11" i="135"/>
  <c r="N2" i="140"/>
  <c r="C12" i="135"/>
  <c r="E12" i="135"/>
  <c r="N2" i="142"/>
  <c r="C13" i="135"/>
  <c r="E13" i="135"/>
  <c r="N2" i="144"/>
  <c r="C14" i="135"/>
  <c r="E14" i="135"/>
  <c r="E15" i="135"/>
  <c r="L2" i="135"/>
  <c r="L73" i="8"/>
  <c r="K78" i="8"/>
  <c r="K77" i="8"/>
  <c r="K76" i="8"/>
  <c r="K75" i="8"/>
  <c r="K74" i="8"/>
  <c r="K73" i="8"/>
  <c r="J78" i="8"/>
  <c r="J77" i="8"/>
  <c r="J76" i="8"/>
  <c r="J75" i="8"/>
  <c r="J74" i="8"/>
  <c r="I78" i="8"/>
  <c r="I77" i="8"/>
  <c r="I76" i="8"/>
  <c r="I75" i="8"/>
  <c r="I74" i="8"/>
  <c r="I73" i="8"/>
  <c r="F73" i="8"/>
  <c r="E78" i="8"/>
  <c r="E75" i="8"/>
  <c r="E76" i="8"/>
  <c r="E77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K72" i="8"/>
  <c r="J72" i="8"/>
  <c r="I72" i="8"/>
  <c r="F72" i="8"/>
  <c r="F71" i="8"/>
  <c r="F70" i="8"/>
  <c r="F69" i="8"/>
  <c r="E66" i="8"/>
  <c r="E67" i="8"/>
  <c r="E65" i="8"/>
  <c r="F68" i="8"/>
  <c r="E70" i="8"/>
  <c r="E71" i="8"/>
  <c r="E72" i="8"/>
  <c r="E69" i="8"/>
  <c r="C72" i="8"/>
  <c r="H72" i="8"/>
  <c r="N72" i="8"/>
  <c r="B72" i="8"/>
  <c r="L68" i="8"/>
  <c r="K71" i="8"/>
  <c r="K70" i="8"/>
  <c r="K69" i="8"/>
  <c r="K68" i="8"/>
  <c r="J71" i="8"/>
  <c r="J70" i="8"/>
  <c r="J69" i="8"/>
  <c r="J68" i="8"/>
  <c r="I71" i="8"/>
  <c r="I70" i="8"/>
  <c r="I69" i="8"/>
  <c r="I68" i="8"/>
  <c r="B13" i="127"/>
  <c r="B12" i="127"/>
  <c r="B4" i="133"/>
  <c r="B4" i="130"/>
  <c r="B4" i="129"/>
  <c r="F63" i="8"/>
  <c r="F62" i="8"/>
  <c r="C71" i="8"/>
  <c r="C70" i="8"/>
  <c r="C69" i="8"/>
  <c r="C68" i="8"/>
  <c r="H71" i="8"/>
  <c r="N71" i="8"/>
  <c r="B71" i="8"/>
  <c r="H70" i="8"/>
  <c r="N70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D11" i="135"/>
  <c r="D12" i="135"/>
  <c r="D13" i="135"/>
  <c r="D14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/>
  <c r="N11" i="133"/>
  <c r="N12" i="133"/>
  <c r="N2" i="133"/>
  <c r="C12" i="127"/>
  <c r="H15" i="133"/>
  <c r="H15" i="130"/>
  <c r="I15" i="133"/>
  <c r="E11" i="133"/>
  <c r="N5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97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97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97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97" i="8"/>
  <c r="M7" i="8"/>
  <c r="M19" i="8"/>
  <c r="M97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97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<sst xmlns="http://schemas.openxmlformats.org/spreadsheetml/2006/main" count="6216" uniqueCount="597">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</sst>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5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0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61">
    <xf numFmtId="0" fontId="0" fillId="0" borderId="0"/>
    <xf numFmtId="0" fontId="14" fillId="0" borderId="0"/>
    <xf numFmtId="170" fontId="14" fillId="0" borderId="0" applyFont="0" applyFill="0" applyBorder="0" applyAlignment="0" applyProtection="0"/>
    <xf numFmtId="170" fontId="22" fillId="0" borderId="0" applyFont="0" applyFill="0" applyBorder="0" applyAlignment="0" applyProtection="0"/>
    <xf numFmtId="170" fontId="13" fillId="2" borderId="6">
      <alignment vertical="center" wrapText="1"/>
    </xf>
    <xf numFmtId="171" fontId="14" fillId="0" borderId="0" applyFont="0" applyFill="0" applyBorder="0" applyAlignment="0" applyProtection="0"/>
    <xf numFmtId="0" fontId="9" fillId="0" borderId="0"/>
    <xf numFmtId="166" fontId="12" fillId="0" borderId="1">
      <alignment vertical="center" wrapText="1"/>
    </xf>
    <xf numFmtId="0" fontId="25" fillId="0" borderId="0" applyNumberFormat="0" applyFill="0" applyBorder="0" applyAlignment="0" applyProtection="0"/>
    <xf numFmtId="0" fontId="32" fillId="0" borderId="0"/>
    <xf numFmtId="170" fontId="37" fillId="13" borderId="1">
      <alignment vertical="center" wrapText="1"/>
    </xf>
    <xf numFmtId="170" fontId="31" fillId="11" borderId="6">
      <alignment vertical="center" wrapText="1"/>
    </xf>
    <xf numFmtId="170" fontId="7" fillId="0" borderId="0" applyFont="0" applyFill="0" applyBorder="0" applyAlignment="0" applyProtection="0"/>
    <xf numFmtId="0" fontId="34" fillId="12" borderId="0" applyNumberFormat="0" applyBorder="0" applyAlignment="0" applyProtection="0"/>
    <xf numFmtId="170" fontId="14" fillId="0" borderId="0" applyFont="0" applyFill="0" applyBorder="0" applyAlignment="0" applyProtection="0"/>
    <xf numFmtId="0" fontId="36" fillId="0" borderId="0"/>
    <xf numFmtId="0" fontId="14" fillId="0" borderId="0"/>
    <xf numFmtId="0" fontId="36" fillId="0" borderId="0"/>
    <xf numFmtId="0" fontId="14" fillId="0" borderId="0"/>
    <xf numFmtId="0" fontId="14" fillId="0" borderId="0"/>
    <xf numFmtId="0" fontId="14" fillId="0" borderId="0"/>
    <xf numFmtId="0" fontId="7" fillId="0" borderId="0"/>
    <xf numFmtId="0" fontId="36" fillId="0" borderId="0"/>
    <xf numFmtId="0" fontId="36" fillId="0" borderId="0"/>
    <xf numFmtId="0" fontId="7" fillId="0" borderId="0"/>
    <xf numFmtId="0" fontId="7" fillId="0" borderId="0"/>
    <xf numFmtId="0" fontId="7" fillId="0" borderId="0"/>
    <xf numFmtId="0" fontId="35" fillId="0" borderId="0"/>
    <xf numFmtId="174" fontId="37" fillId="0" borderId="1">
      <alignment vertical="center" wrapText="1"/>
    </xf>
    <xf numFmtId="165" fontId="22" fillId="0" borderId="0" applyFill="0" applyBorder="0" applyAlignment="0" applyProtection="0"/>
    <xf numFmtId="0" fontId="39" fillId="0" borderId="0"/>
    <xf numFmtId="0" fontId="6" fillId="0" borderId="0"/>
    <xf numFmtId="0" fontId="5" fillId="0" borderId="0"/>
    <xf numFmtId="0" fontId="12" fillId="0" borderId="0"/>
    <xf numFmtId="0" fontId="4" fillId="0" borderId="0"/>
    <xf numFmtId="171" fontId="22" fillId="0" borderId="0" applyFont="0" applyFill="0" applyBorder="0" applyAlignment="0" applyProtection="0"/>
    <xf numFmtId="170" fontId="22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3" fillId="0" borderId="0"/>
    <xf numFmtId="0" fontId="3" fillId="0" borderId="0"/>
    <xf numFmtId="44" fontId="3" fillId="0" borderId="0" applyFont="0" applyFill="0" applyBorder="0" applyAlignment="0" applyProtection="0"/>
    <xf numFmtId="43" fontId="22" fillId="0" borderId="0" applyFont="0" applyFill="0" applyBorder="0" applyAlignment="0" applyProtection="0"/>
    <xf numFmtId="0" fontId="12" fillId="0" borderId="0"/>
    <xf numFmtId="170" fontId="40" fillId="14" borderId="6">
      <alignment vertical="center" wrapText="1"/>
    </xf>
    <xf numFmtId="170" fontId="3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43" fontId="12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47" fillId="0" borderId="0" applyNumberFormat="0" applyFill="0" applyBorder="0" applyAlignment="0" applyProtection="0"/>
    <xf numFmtId="0" fontId="1" fillId="0" borderId="0"/>
    <xf numFmtId="0" fontId="1" fillId="0" borderId="0"/>
    <xf numFmtId="43" fontId="12" fillId="0" borderId="0" applyFont="0" applyFill="0" applyBorder="0" applyAlignment="0" applyProtection="0"/>
    <xf numFmtId="0" fontId="22" fillId="0" borderId="0"/>
    <xf numFmtId="0" fontId="1" fillId="0" borderId="0"/>
    <xf numFmtId="164" fontId="22" fillId="0" borderId="0" applyFill="0" applyBorder="0" applyAlignment="0" applyProtection="0"/>
  </cellStyleXfs>
  <cellXfs count="1071">
    <xf numFmtId="0" fontId="0" fillId="0" borderId="0" xfId="0"/>
    <xf numFmtId="18" fontId="18" fillId="0" borderId="7" xfId="1" applyNumberFormat="1" applyFont="1" applyFill="1" applyBorder="1" applyAlignment="1" applyProtection="1">
      <protection locked="0"/>
    </xf>
    <xf numFmtId="0" fontId="18" fillId="0" borderId="7" xfId="1" applyFont="1" applyFill="1" applyBorder="1" applyAlignment="1">
      <alignment horizontal="center"/>
    </xf>
    <xf numFmtId="171" fontId="18" fillId="0" borderId="7" xfId="5" applyFont="1" applyFill="1" applyBorder="1" applyProtection="1">
      <protection locked="0"/>
    </xf>
    <xf numFmtId="0" fontId="18" fillId="0" borderId="7" xfId="1" applyFont="1" applyFill="1" applyBorder="1" applyAlignment="1" applyProtection="1">
      <alignment horizontal="center"/>
      <protection locked="0"/>
    </xf>
    <xf numFmtId="0" fontId="18" fillId="0" borderId="7" xfId="1" applyFont="1" applyFill="1" applyBorder="1" applyProtection="1">
      <protection locked="0"/>
    </xf>
    <xf numFmtId="171" fontId="15" fillId="0" borderId="0" xfId="5" applyFont="1"/>
    <xf numFmtId="0" fontId="15" fillId="0" borderId="0" xfId="1" applyFont="1" applyProtection="1">
      <protection locked="0"/>
    </xf>
    <xf numFmtId="171" fontId="14" fillId="0" borderId="0" xfId="5" applyFont="1"/>
    <xf numFmtId="0" fontId="15" fillId="0" borderId="0" xfId="1" applyFont="1"/>
    <xf numFmtId="0" fontId="17" fillId="0" borderId="0" xfId="1" applyFont="1"/>
    <xf numFmtId="0" fontId="14" fillId="0" borderId="0" xfId="1" applyFont="1" applyProtection="1">
      <protection locked="0"/>
    </xf>
    <xf numFmtId="0" fontId="14" fillId="0" borderId="0" xfId="1" applyFont="1" applyFill="1"/>
    <xf numFmtId="0" fontId="14" fillId="0" borderId="0" xfId="1" applyFont="1"/>
    <xf numFmtId="0" fontId="9" fillId="0" borderId="0" xfId="6" applyBorder="1"/>
    <xf numFmtId="0" fontId="9" fillId="0" borderId="0" xfId="6"/>
    <xf numFmtId="0" fontId="11" fillId="0" borderId="0" xfId="0" applyFont="1" applyBorder="1"/>
    <xf numFmtId="0" fontId="0" fillId="0" borderId="0" xfId="0" applyFont="1"/>
    <xf numFmtId="0" fontId="11" fillId="0" borderId="0" xfId="0" applyFont="1" applyBorder="1" applyAlignment="1">
      <alignment horizontal="left"/>
    </xf>
    <xf numFmtId="164" fontId="11" fillId="0" borderId="3" xfId="7" applyNumberFormat="1" applyFont="1" applyBorder="1" applyAlignment="1" applyProtection="1"/>
    <xf numFmtId="0" fontId="11" fillId="0" borderId="3" xfId="0" applyFont="1" applyBorder="1" applyAlignment="1"/>
    <xf numFmtId="11" fontId="11" fillId="0" borderId="3" xfId="0" applyNumberFormat="1" applyFont="1" applyBorder="1" applyAlignment="1"/>
    <xf numFmtId="0" fontId="0" fillId="0" borderId="0" xfId="0" applyAlignment="1"/>
    <xf numFmtId="2" fontId="11" fillId="0" borderId="3" xfId="7" applyNumberFormat="1" applyFont="1" applyBorder="1" applyAlignment="1" applyProtection="1"/>
    <xf numFmtId="0" fontId="10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1" fillId="0" borderId="0" xfId="0" applyNumberFormat="1" applyFont="1" applyBorder="1" applyAlignment="1">
      <alignment horizontal="left"/>
    </xf>
    <xf numFmtId="0" fontId="10" fillId="0" borderId="4" xfId="0" applyFont="1" applyBorder="1"/>
    <xf numFmtId="165" fontId="11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1" fillId="0" borderId="3" xfId="7" applyNumberFormat="1" applyFont="1" applyBorder="1" applyAlignment="1" applyProtection="1">
      <alignment wrapText="1"/>
    </xf>
    <xf numFmtId="0" fontId="19" fillId="0" borderId="0" xfId="1" applyFont="1" applyAlignment="1">
      <alignment horizontal="center"/>
    </xf>
    <xf numFmtId="0" fontId="20" fillId="0" borderId="0" xfId="1" applyFont="1"/>
    <xf numFmtId="0" fontId="23" fillId="0" borderId="0" xfId="6" applyFont="1" applyFill="1" applyBorder="1"/>
    <xf numFmtId="0" fontId="9" fillId="0" borderId="0" xfId="6" applyFill="1"/>
    <xf numFmtId="0" fontId="9" fillId="0" borderId="0" xfId="6" applyFill="1" applyBorder="1"/>
    <xf numFmtId="0" fontId="9" fillId="0" borderId="0" xfId="6" applyFont="1"/>
    <xf numFmtId="0" fontId="9" fillId="0" borderId="0" xfId="6" applyFont="1" applyFill="1" applyBorder="1"/>
    <xf numFmtId="0" fontId="9" fillId="0" borderId="0" xfId="6" applyFont="1" applyFill="1"/>
    <xf numFmtId="0" fontId="18" fillId="0" borderId="7" xfId="1" applyFont="1" applyFill="1" applyBorder="1" applyAlignment="1">
      <alignment horizontal="left"/>
    </xf>
    <xf numFmtId="0" fontId="16" fillId="0" borderId="0" xfId="1" applyFont="1"/>
    <xf numFmtId="0" fontId="21" fillId="0" borderId="0" xfId="1" applyFont="1"/>
    <xf numFmtId="0" fontId="23" fillId="3" borderId="0" xfId="6" applyFont="1" applyFill="1" applyBorder="1" applyAlignment="1"/>
    <xf numFmtId="171" fontId="14" fillId="0" borderId="0" xfId="1" applyNumberFormat="1" applyFont="1"/>
    <xf numFmtId="0" fontId="19" fillId="0" borderId="8" xfId="1" applyFont="1" applyBorder="1" applyAlignment="1">
      <alignment horizontal="center" wrapText="1"/>
    </xf>
    <xf numFmtId="2" fontId="19" fillId="0" borderId="8" xfId="1" applyNumberFormat="1" applyFont="1" applyBorder="1" applyAlignment="1">
      <alignment horizontal="center" wrapText="1"/>
    </xf>
    <xf numFmtId="171" fontId="19" fillId="0" borderId="8" xfId="5" applyFont="1" applyBorder="1" applyAlignment="1">
      <alignment horizontal="center" wrapText="1"/>
    </xf>
    <xf numFmtId="0" fontId="24" fillId="4" borderId="9" xfId="6" applyFont="1" applyFill="1" applyBorder="1"/>
    <xf numFmtId="0" fontId="24" fillId="4" borderId="11" xfId="6" applyFont="1" applyFill="1" applyBorder="1"/>
    <xf numFmtId="0" fontId="24" fillId="4" borderId="10" xfId="6" applyFont="1" applyFill="1" applyBorder="1"/>
    <xf numFmtId="0" fontId="24" fillId="4" borderId="12" xfId="6" applyFont="1" applyFill="1" applyBorder="1"/>
    <xf numFmtId="0" fontId="9" fillId="5" borderId="14" xfId="6" quotePrefix="1" applyFill="1" applyBorder="1" applyAlignment="1">
      <alignment horizontal="left"/>
    </xf>
    <xf numFmtId="2" fontId="9" fillId="6" borderId="15" xfId="6" quotePrefix="1" applyNumberFormat="1" applyFill="1" applyBorder="1" applyAlignment="1">
      <alignment horizontal="right"/>
    </xf>
    <xf numFmtId="0" fontId="24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1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0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1" fillId="0" borderId="16" xfId="0" applyFont="1" applyBorder="1"/>
    <xf numFmtId="0" fontId="11" fillId="0" borderId="16" xfId="7" applyNumberFormat="1" applyFont="1" applyBorder="1" applyAlignment="1" applyProtection="1"/>
    <xf numFmtId="165" fontId="11" fillId="0" borderId="16" xfId="7" applyNumberFormat="1" applyFont="1" applyBorder="1" applyAlignment="1" applyProtection="1"/>
    <xf numFmtId="164" fontId="11" fillId="0" borderId="16" xfId="7" applyNumberFormat="1" applyFont="1" applyBorder="1" applyAlignment="1" applyProtection="1"/>
    <xf numFmtId="11" fontId="11" fillId="0" borderId="16" xfId="0" applyNumberFormat="1" applyFont="1" applyBorder="1"/>
    <xf numFmtId="167" fontId="11" fillId="0" borderId="16" xfId="7" applyNumberFormat="1" applyFont="1" applyBorder="1" applyAlignment="1" applyProtection="1"/>
    <xf numFmtId="168" fontId="11" fillId="0" borderId="16" xfId="7" applyNumberFormat="1" applyFont="1" applyBorder="1" applyAlignment="1" applyProtection="1"/>
    <xf numFmtId="0" fontId="0" fillId="0" borderId="16" xfId="0" applyBorder="1" applyAlignment="1"/>
    <xf numFmtId="2" fontId="11" fillId="0" borderId="16" xfId="7" applyNumberFormat="1" applyFont="1" applyBorder="1" applyAlignment="1" applyProtection="1"/>
    <xf numFmtId="169" fontId="11" fillId="0" borderId="16" xfId="7" applyNumberFormat="1" applyFont="1" applyBorder="1" applyAlignment="1" applyProtection="1"/>
    <xf numFmtId="37" fontId="11" fillId="0" borderId="16" xfId="7" applyNumberFormat="1" applyFont="1" applyBorder="1" applyAlignment="1" applyProtection="1"/>
    <xf numFmtId="0" fontId="11" fillId="0" borderId="16" xfId="0" applyFont="1" applyBorder="1" applyAlignment="1">
      <alignment horizontal="right"/>
    </xf>
    <xf numFmtId="0" fontId="10" fillId="0" borderId="26" xfId="0" applyFont="1" applyBorder="1"/>
    <xf numFmtId="0" fontId="11" fillId="0" borderId="22" xfId="0" applyFont="1" applyBorder="1" applyAlignment="1"/>
    <xf numFmtId="0" fontId="25" fillId="0" borderId="16" xfId="8" applyNumberFormat="1" applyBorder="1" applyAlignment="1" applyProtection="1"/>
    <xf numFmtId="0" fontId="26" fillId="0" borderId="0" xfId="0" applyFont="1"/>
    <xf numFmtId="0" fontId="25" fillId="0" borderId="0" xfId="8" applyBorder="1"/>
    <xf numFmtId="0" fontId="25" fillId="0" borderId="0" xfId="8"/>
    <xf numFmtId="0" fontId="28" fillId="0" borderId="0" xfId="0" applyFont="1"/>
    <xf numFmtId="0" fontId="29" fillId="0" borderId="0" xfId="0" applyFont="1"/>
    <xf numFmtId="0" fontId="9" fillId="5" borderId="14" xfId="6" quotePrefix="1" applyFont="1" applyFill="1" applyBorder="1" applyAlignment="1">
      <alignment horizontal="left"/>
    </xf>
    <xf numFmtId="0" fontId="8" fillId="5" borderId="14" xfId="6" applyFont="1" applyFill="1" applyBorder="1"/>
    <xf numFmtId="0" fontId="8" fillId="5" borderId="13" xfId="6" applyFont="1" applyFill="1" applyBorder="1"/>
    <xf numFmtId="172" fontId="11" fillId="0" borderId="16" xfId="7" applyNumberFormat="1" applyFont="1" applyBorder="1" applyAlignment="1" applyProtection="1"/>
    <xf numFmtId="172" fontId="18" fillId="0" borderId="7" xfId="1" applyNumberFormat="1" applyFont="1" applyFill="1" applyBorder="1" applyAlignment="1">
      <alignment horizontal="right"/>
    </xf>
    <xf numFmtId="173" fontId="11" fillId="0" borderId="16" xfId="7" applyNumberFormat="1" applyFont="1" applyBorder="1" applyAlignment="1" applyProtection="1"/>
    <xf numFmtId="0" fontId="10" fillId="7" borderId="16" xfId="0" applyFont="1" applyFill="1" applyBorder="1"/>
    <xf numFmtId="0" fontId="10" fillId="7" borderId="0" xfId="0" applyFont="1" applyFill="1" applyBorder="1"/>
    <xf numFmtId="165" fontId="10" fillId="7" borderId="16" xfId="0" applyNumberFormat="1" applyFont="1" applyFill="1" applyBorder="1"/>
    <xf numFmtId="0" fontId="10" fillId="7" borderId="16" xfId="0" applyFont="1" applyFill="1" applyBorder="1" applyAlignment="1">
      <alignment horizontal="right"/>
    </xf>
    <xf numFmtId="0" fontId="10" fillId="8" borderId="16" xfId="0" applyFont="1" applyFill="1" applyBorder="1"/>
    <xf numFmtId="0" fontId="10" fillId="8" borderId="16" xfId="0" applyFont="1" applyFill="1" applyBorder="1" applyAlignment="1">
      <alignment horizontal="left"/>
    </xf>
    <xf numFmtId="0" fontId="10" fillId="8" borderId="2" xfId="0" applyFont="1" applyFill="1" applyBorder="1"/>
    <xf numFmtId="0" fontId="10" fillId="8" borderId="27" xfId="0" applyFont="1" applyFill="1" applyBorder="1"/>
    <xf numFmtId="0" fontId="10" fillId="8" borderId="5" xfId="0" applyFont="1" applyFill="1" applyBorder="1"/>
    <xf numFmtId="0" fontId="10" fillId="8" borderId="3" xfId="0" applyFont="1" applyFill="1" applyBorder="1"/>
    <xf numFmtId="0" fontId="10" fillId="8" borderId="3" xfId="0" applyFont="1" applyFill="1" applyBorder="1" applyAlignment="1">
      <alignment horizontal="right"/>
    </xf>
    <xf numFmtId="165" fontId="10" fillId="8" borderId="5" xfId="0" applyNumberFormat="1" applyFont="1" applyFill="1" applyBorder="1"/>
    <xf numFmtId="0" fontId="10" fillId="8" borderId="22" xfId="0" applyFont="1" applyFill="1" applyBorder="1"/>
    <xf numFmtId="0" fontId="10" fillId="8" borderId="5" xfId="0" applyFont="1" applyFill="1" applyBorder="1" applyAlignment="1">
      <alignment horizontal="right"/>
    </xf>
    <xf numFmtId="0" fontId="18" fillId="9" borderId="3" xfId="1" applyFont="1" applyFill="1" applyBorder="1" applyProtection="1">
      <protection locked="0"/>
    </xf>
    <xf numFmtId="0" fontId="18" fillId="9" borderId="3" xfId="1" applyFont="1" applyFill="1" applyBorder="1" applyAlignment="1">
      <alignment horizontal="left"/>
    </xf>
    <xf numFmtId="18" fontId="18" fillId="9" borderId="3" xfId="1" applyNumberFormat="1" applyFont="1" applyFill="1" applyBorder="1" applyAlignment="1" applyProtection="1">
      <protection locked="0"/>
    </xf>
    <xf numFmtId="172" fontId="18" fillId="9" borderId="3" xfId="5" applyNumberFormat="1" applyFont="1" applyFill="1" applyBorder="1" applyProtection="1">
      <protection locked="0"/>
    </xf>
    <xf numFmtId="172" fontId="18" fillId="9" borderId="3" xfId="1" applyNumberFormat="1" applyFont="1" applyFill="1" applyBorder="1" applyAlignment="1" applyProtection="1">
      <alignment horizontal="center"/>
      <protection locked="0"/>
    </xf>
    <xf numFmtId="172" fontId="18" fillId="9" borderId="3" xfId="1" applyNumberFormat="1" applyFont="1" applyFill="1" applyBorder="1" applyAlignment="1">
      <alignment horizontal="right"/>
    </xf>
    <xf numFmtId="0" fontId="18" fillId="9" borderId="3" xfId="1" applyFont="1" applyFill="1" applyBorder="1" applyAlignment="1">
      <alignment horizontal="center"/>
    </xf>
    <xf numFmtId="0" fontId="18" fillId="10" borderId="3" xfId="1" applyFont="1" applyFill="1" applyBorder="1" applyProtection="1">
      <protection locked="0"/>
    </xf>
    <xf numFmtId="18" fontId="18" fillId="10" borderId="3" xfId="1" applyNumberFormat="1" applyFont="1" applyFill="1" applyBorder="1" applyAlignment="1" applyProtection="1">
      <protection locked="0"/>
    </xf>
    <xf numFmtId="0" fontId="25" fillId="10" borderId="3" xfId="8" applyFill="1" applyBorder="1" applyAlignment="1">
      <alignment horizontal="left"/>
    </xf>
    <xf numFmtId="172" fontId="18" fillId="10" borderId="3" xfId="5" applyNumberFormat="1" applyFont="1" applyFill="1" applyBorder="1" applyProtection="1">
      <protection locked="0"/>
    </xf>
    <xf numFmtId="172" fontId="18" fillId="10" borderId="3" xfId="1" applyNumberFormat="1" applyFont="1" applyFill="1" applyBorder="1" applyAlignment="1" applyProtection="1">
      <alignment horizontal="center"/>
      <protection locked="0"/>
    </xf>
    <xf numFmtId="172" fontId="18" fillId="10" borderId="3" xfId="1" applyNumberFormat="1" applyFont="1" applyFill="1" applyBorder="1" applyAlignment="1">
      <alignment horizontal="right"/>
    </xf>
    <xf numFmtId="0" fontId="18" fillId="10" borderId="3" xfId="1" applyFont="1" applyFill="1" applyBorder="1" applyAlignment="1">
      <alignment horizontal="center"/>
    </xf>
    <xf numFmtId="0" fontId="18" fillId="10" borderId="3" xfId="1" applyFont="1" applyFill="1" applyBorder="1" applyAlignment="1" applyProtection="1">
      <alignment horizontal="center"/>
      <protection locked="0"/>
    </xf>
    <xf numFmtId="170" fontId="38" fillId="0" borderId="0" xfId="11" applyFont="1" applyFill="1" applyBorder="1">
      <alignment vertical="center" wrapText="1"/>
    </xf>
    <xf numFmtId="0" fontId="11" fillId="0" borderId="16" xfId="0" applyNumberFormat="1" applyFont="1" applyBorder="1"/>
    <xf numFmtId="165" fontId="33" fillId="0" borderId="28" xfId="29" applyFont="1" applyFill="1" applyBorder="1" applyAlignment="1" applyProtection="1"/>
    <xf numFmtId="39" fontId="33" fillId="0" borderId="28" xfId="29" applyNumberFormat="1" applyFont="1" applyFill="1" applyBorder="1" applyAlignment="1" applyProtection="1"/>
    <xf numFmtId="37" fontId="33" fillId="0" borderId="30" xfId="29" applyNumberFormat="1" applyFont="1" applyFill="1" applyBorder="1" applyAlignment="1" applyProtection="1"/>
    <xf numFmtId="165" fontId="33" fillId="0" borderId="30" xfId="29" applyFont="1" applyFill="1" applyBorder="1" applyAlignment="1" applyProtection="1"/>
    <xf numFmtId="37" fontId="33" fillId="0" borderId="28" xfId="29" applyNumberFormat="1" applyFont="1" applyFill="1" applyBorder="1" applyAlignment="1" applyProtection="1"/>
    <xf numFmtId="0" fontId="22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3" fillId="0" borderId="28" xfId="31" applyFont="1" applyFill="1" applyBorder="1"/>
    <xf numFmtId="0" fontId="33" fillId="0" borderId="28" xfId="31" applyNumberFormat="1" applyFont="1" applyFill="1" applyBorder="1"/>
    <xf numFmtId="0" fontId="33" fillId="0" borderId="29" xfId="31" applyFont="1" applyFill="1" applyBorder="1"/>
    <xf numFmtId="4" fontId="33" fillId="0" borderId="28" xfId="31" applyNumberFormat="1" applyFont="1" applyFill="1" applyBorder="1"/>
    <xf numFmtId="2" fontId="33" fillId="0" borderId="28" xfId="31" applyNumberFormat="1" applyFont="1" applyFill="1" applyBorder="1"/>
    <xf numFmtId="18" fontId="25" fillId="9" borderId="3" xfId="8" applyNumberFormat="1" applyFill="1" applyBorder="1" applyAlignment="1" applyProtection="1">
      <protection locked="0"/>
    </xf>
    <xf numFmtId="0" fontId="33" fillId="0" borderId="3" xfId="9" applyFont="1" applyFill="1" applyBorder="1" applyAlignment="1" applyProtection="1">
      <alignment wrapText="1"/>
    </xf>
    <xf numFmtId="0" fontId="33" fillId="0" borderId="3" xfId="9" applyFont="1" applyFill="1" applyBorder="1" applyAlignment="1">
      <alignment horizontal="left" wrapText="1"/>
    </xf>
    <xf numFmtId="1" fontId="11" fillId="0" borderId="3" xfId="7" applyNumberFormat="1" applyFont="1" applyBorder="1" applyAlignment="1" applyProtection="1"/>
    <xf numFmtId="178" fontId="11" fillId="0" borderId="3" xfId="0" applyNumberFormat="1" applyFont="1" applyBorder="1" applyAlignment="1"/>
    <xf numFmtId="170" fontId="38" fillId="0" borderId="3" xfId="11" applyNumberFormat="1" applyFont="1" applyFill="1" applyBorder="1">
      <alignment vertical="center" wrapText="1"/>
    </xf>
    <xf numFmtId="165" fontId="11" fillId="0" borderId="31" xfId="7" applyNumberFormat="1" applyFont="1" applyBorder="1" applyAlignment="1" applyProtection="1"/>
    <xf numFmtId="0" fontId="18" fillId="9" borderId="3" xfId="1" applyFont="1" applyFill="1" applyBorder="1" applyAlignment="1" applyProtection="1">
      <alignment horizontal="center"/>
      <protection locked="0"/>
    </xf>
    <xf numFmtId="0" fontId="12" fillId="0" borderId="17" xfId="33" applyBorder="1"/>
    <xf numFmtId="0" fontId="12" fillId="0" borderId="18" xfId="33" applyBorder="1"/>
    <xf numFmtId="0" fontId="12" fillId="0" borderId="19" xfId="33" applyBorder="1"/>
    <xf numFmtId="0" fontId="12" fillId="0" borderId="0" xfId="33"/>
    <xf numFmtId="0" fontId="10" fillId="7" borderId="16" xfId="33" applyFont="1" applyFill="1" applyBorder="1"/>
    <xf numFmtId="0" fontId="11" fillId="0" borderId="0" xfId="33" applyFont="1" applyBorder="1"/>
    <xf numFmtId="0" fontId="12" fillId="0" borderId="0" xfId="33" applyBorder="1"/>
    <xf numFmtId="0" fontId="11" fillId="0" borderId="16" xfId="33" applyFont="1" applyBorder="1" applyAlignment="1">
      <alignment horizontal="right"/>
    </xf>
    <xf numFmtId="0" fontId="12" fillId="0" borderId="20" xfId="33" applyBorder="1"/>
    <xf numFmtId="0" fontId="12" fillId="0" borderId="0" xfId="33" applyFont="1" applyBorder="1"/>
    <xf numFmtId="0" fontId="10" fillId="7" borderId="0" xfId="33" applyFont="1" applyFill="1" applyBorder="1"/>
    <xf numFmtId="0" fontId="11" fillId="0" borderId="0" xfId="33" applyFont="1" applyBorder="1" applyAlignment="1">
      <alignment horizontal="left"/>
    </xf>
    <xf numFmtId="0" fontId="12" fillId="0" borderId="21" xfId="33" applyBorder="1"/>
    <xf numFmtId="0" fontId="11" fillId="0" borderId="16" xfId="33" applyFont="1" applyBorder="1"/>
    <xf numFmtId="0" fontId="11" fillId="0" borderId="16" xfId="33" applyNumberFormat="1" applyFont="1" applyBorder="1"/>
    <xf numFmtId="0" fontId="12" fillId="0" borderId="0" xfId="33" applyFont="1"/>
    <xf numFmtId="0" fontId="12" fillId="0" borderId="20" xfId="33" applyFont="1" applyBorder="1"/>
    <xf numFmtId="0" fontId="10" fillId="7" borderId="16" xfId="33" applyFont="1" applyFill="1" applyBorder="1" applyAlignment="1">
      <alignment horizontal="right"/>
    </xf>
    <xf numFmtId="165" fontId="10" fillId="7" borderId="16" xfId="33" applyNumberFormat="1" applyFont="1" applyFill="1" applyBorder="1"/>
    <xf numFmtId="11" fontId="11" fillId="0" borderId="16" xfId="33" applyNumberFormat="1" applyFont="1" applyBorder="1"/>
    <xf numFmtId="0" fontId="33" fillId="0" borderId="28" xfId="34" applyFont="1" applyFill="1" applyBorder="1"/>
    <xf numFmtId="0" fontId="33" fillId="0" borderId="28" xfId="34" applyFont="1" applyFill="1" applyBorder="1" applyAlignment="1">
      <alignment wrapText="1"/>
    </xf>
    <xf numFmtId="0" fontId="11" fillId="0" borderId="16" xfId="33" applyFont="1" applyBorder="1" applyAlignment="1"/>
    <xf numFmtId="11" fontId="11" fillId="0" borderId="16" xfId="33" applyNumberFormat="1" applyFont="1" applyBorder="1" applyAlignment="1"/>
    <xf numFmtId="0" fontId="12" fillId="0" borderId="16" xfId="33" applyBorder="1" applyAlignment="1"/>
    <xf numFmtId="0" fontId="12" fillId="0" borderId="20" xfId="33" applyBorder="1" applyAlignment="1"/>
    <xf numFmtId="0" fontId="12" fillId="0" borderId="0" xfId="33" applyAlignment="1"/>
    <xf numFmtId="0" fontId="10" fillId="0" borderId="21" xfId="33" applyFont="1" applyBorder="1"/>
    <xf numFmtId="0" fontId="10" fillId="0" borderId="0" xfId="33" applyFont="1" applyBorder="1"/>
    <xf numFmtId="0" fontId="12" fillId="0" borderId="20" xfId="33" applyBorder="1" applyAlignment="1">
      <alignment wrapText="1"/>
    </xf>
    <xf numFmtId="0" fontId="12" fillId="0" borderId="0" xfId="33" applyAlignment="1">
      <alignment wrapText="1"/>
    </xf>
    <xf numFmtId="0" fontId="33" fillId="0" borderId="28" xfId="34" applyNumberFormat="1" applyFont="1" applyFill="1" applyBorder="1"/>
    <xf numFmtId="0" fontId="32" fillId="0" borderId="0" xfId="9"/>
    <xf numFmtId="4" fontId="33" fillId="0" borderId="28" xfId="34" applyNumberFormat="1" applyFont="1" applyFill="1" applyBorder="1"/>
    <xf numFmtId="0" fontId="22" fillId="0" borderId="28" xfId="34" applyFont="1" applyFill="1" applyBorder="1"/>
    <xf numFmtId="2" fontId="33" fillId="0" borderId="28" xfId="34" applyNumberFormat="1" applyFont="1" applyFill="1" applyBorder="1"/>
    <xf numFmtId="0" fontId="12" fillId="0" borderId="0" xfId="33" applyBorder="1" applyAlignment="1">
      <alignment wrapText="1"/>
    </xf>
    <xf numFmtId="0" fontId="12" fillId="0" borderId="23" xfId="33" applyBorder="1"/>
    <xf numFmtId="0" fontId="12" fillId="0" borderId="24" xfId="33" applyBorder="1"/>
    <xf numFmtId="0" fontId="12" fillId="0" borderId="25" xfId="33" applyBorder="1"/>
    <xf numFmtId="0" fontId="10" fillId="8" borderId="16" xfId="33" applyFont="1" applyFill="1" applyBorder="1"/>
    <xf numFmtId="0" fontId="10" fillId="8" borderId="16" xfId="33" applyFont="1" applyFill="1" applyBorder="1" applyAlignment="1">
      <alignment horizontal="left"/>
    </xf>
    <xf numFmtId="0" fontId="10" fillId="8" borderId="2" xfId="33" applyFont="1" applyFill="1" applyBorder="1"/>
    <xf numFmtId="49" fontId="11" fillId="0" borderId="0" xfId="33" applyNumberFormat="1" applyFont="1" applyBorder="1" applyAlignment="1">
      <alignment horizontal="left"/>
    </xf>
    <xf numFmtId="0" fontId="10" fillId="0" borderId="26" xfId="33" applyFont="1" applyBorder="1"/>
    <xf numFmtId="0" fontId="10" fillId="0" borderId="4" xfId="33" applyFont="1" applyBorder="1"/>
    <xf numFmtId="0" fontId="10" fillId="8" borderId="27" xfId="33" applyFont="1" applyFill="1" applyBorder="1"/>
    <xf numFmtId="0" fontId="10" fillId="8" borderId="5" xfId="33" applyFont="1" applyFill="1" applyBorder="1"/>
    <xf numFmtId="0" fontId="10" fillId="8" borderId="3" xfId="33" applyFont="1" applyFill="1" applyBorder="1"/>
    <xf numFmtId="0" fontId="11" fillId="0" borderId="22" xfId="33" applyFont="1" applyBorder="1" applyAlignment="1"/>
    <xf numFmtId="0" fontId="12" fillId="0" borderId="3" xfId="33" applyBorder="1"/>
    <xf numFmtId="0" fontId="11" fillId="0" borderId="3" xfId="33" applyFont="1" applyBorder="1" applyAlignment="1"/>
    <xf numFmtId="11" fontId="11" fillId="0" borderId="3" xfId="33" applyNumberFormat="1" applyFont="1" applyBorder="1" applyAlignment="1"/>
    <xf numFmtId="0" fontId="10" fillId="8" borderId="3" xfId="33" applyFont="1" applyFill="1" applyBorder="1" applyAlignment="1">
      <alignment horizontal="right"/>
    </xf>
    <xf numFmtId="165" fontId="10" fillId="8" borderId="5" xfId="33" applyNumberFormat="1" applyFont="1" applyFill="1" applyBorder="1"/>
    <xf numFmtId="176" fontId="12" fillId="0" borderId="0" xfId="33" applyNumberFormat="1"/>
    <xf numFmtId="0" fontId="10" fillId="8" borderId="22" xfId="33" applyFont="1" applyFill="1" applyBorder="1"/>
    <xf numFmtId="0" fontId="12" fillId="0" borderId="22" xfId="33" applyBorder="1" applyAlignment="1">
      <alignment wrapText="1"/>
    </xf>
    <xf numFmtId="0" fontId="12" fillId="0" borderId="3" xfId="33" applyBorder="1" applyAlignment="1">
      <alignment wrapText="1"/>
    </xf>
    <xf numFmtId="0" fontId="11" fillId="0" borderId="22" xfId="33" applyFont="1" applyBorder="1"/>
    <xf numFmtId="0" fontId="11" fillId="0" borderId="3" xfId="33" applyFont="1" applyBorder="1"/>
    <xf numFmtId="0" fontId="12" fillId="0" borderId="22" xfId="33" applyBorder="1"/>
    <xf numFmtId="0" fontId="10" fillId="8" borderId="5" xfId="33" applyFont="1" applyFill="1" applyBorder="1" applyAlignment="1">
      <alignment horizontal="right"/>
    </xf>
    <xf numFmtId="0" fontId="10" fillId="8" borderId="31" xfId="33" applyFont="1" applyFill="1" applyBorder="1"/>
    <xf numFmtId="0" fontId="11" fillId="0" borderId="32" xfId="7" applyNumberFormat="1" applyFont="1" applyBorder="1" applyAlignment="1" applyProtection="1"/>
    <xf numFmtId="176" fontId="11" fillId="0" borderId="3" xfId="33" applyNumberFormat="1" applyFont="1" applyBorder="1" applyAlignment="1"/>
    <xf numFmtId="0" fontId="11" fillId="0" borderId="3" xfId="33" applyNumberFormat="1" applyFont="1" applyBorder="1"/>
    <xf numFmtId="0" fontId="12" fillId="10" borderId="0" xfId="33" applyFill="1"/>
    <xf numFmtId="49" fontId="25" fillId="0" borderId="0" xfId="8" applyNumberFormat="1"/>
    <xf numFmtId="0" fontId="32" fillId="0" borderId="3" xfId="9" applyBorder="1"/>
    <xf numFmtId="0" fontId="33" fillId="0" borderId="3" xfId="30" applyFont="1" applyFill="1" applyBorder="1" applyAlignment="1">
      <alignment wrapText="1"/>
    </xf>
    <xf numFmtId="170" fontId="33" fillId="0" borderId="3" xfId="3" applyFont="1" applyFill="1" applyBorder="1"/>
    <xf numFmtId="170" fontId="33" fillId="0" borderId="3" xfId="3" applyNumberFormat="1" applyFont="1" applyFill="1" applyBorder="1" applyAlignment="1"/>
    <xf numFmtId="177" fontId="33" fillId="0" borderId="3" xfId="9" applyNumberFormat="1" applyFont="1" applyFill="1" applyBorder="1" applyAlignment="1">
      <alignment horizontal="right" wrapText="1"/>
    </xf>
    <xf numFmtId="0" fontId="33" fillId="0" borderId="3" xfId="9" applyFont="1" applyFill="1" applyBorder="1"/>
    <xf numFmtId="0" fontId="33" fillId="0" borderId="3" xfId="9" applyFont="1" applyFill="1" applyBorder="1" applyAlignment="1">
      <alignment wrapText="1"/>
    </xf>
    <xf numFmtId="0" fontId="10" fillId="0" borderId="0" xfId="9" applyFont="1" applyBorder="1"/>
    <xf numFmtId="0" fontId="32" fillId="0" borderId="20" xfId="9" applyBorder="1" applyAlignment="1">
      <alignment wrapText="1"/>
    </xf>
    <xf numFmtId="0" fontId="32" fillId="0" borderId="0" xfId="9" applyBorder="1"/>
    <xf numFmtId="0" fontId="32" fillId="0" borderId="20" xfId="9" applyBorder="1"/>
    <xf numFmtId="0" fontId="33" fillId="0" borderId="3" xfId="9" applyNumberFormat="1" applyFont="1" applyFill="1" applyBorder="1" applyAlignment="1">
      <alignment wrapText="1"/>
    </xf>
    <xf numFmtId="0" fontId="12" fillId="0" borderId="0" xfId="9" applyFont="1" applyBorder="1"/>
    <xf numFmtId="0" fontId="12" fillId="0" borderId="20" xfId="9" applyFont="1" applyBorder="1"/>
    <xf numFmtId="0" fontId="33" fillId="0" borderId="6" xfId="30" applyFont="1" applyFill="1" applyBorder="1" applyAlignment="1">
      <alignment wrapText="1"/>
    </xf>
    <xf numFmtId="0" fontId="32" fillId="0" borderId="0" xfId="9" applyAlignment="1">
      <alignment wrapText="1"/>
    </xf>
    <xf numFmtId="0" fontId="38" fillId="0" borderId="3" xfId="9" applyFont="1" applyBorder="1"/>
    <xf numFmtId="0" fontId="11" fillId="0" borderId="33" xfId="0" applyFont="1" applyBorder="1"/>
    <xf numFmtId="0" fontId="33" fillId="0" borderId="29" xfId="31" applyFont="1" applyFill="1" applyBorder="1" applyAlignment="1">
      <alignment wrapText="1"/>
    </xf>
    <xf numFmtId="165" fontId="11" fillId="0" borderId="33" xfId="7" applyNumberFormat="1" applyFont="1" applyBorder="1" applyAlignment="1" applyProtection="1"/>
    <xf numFmtId="164" fontId="11" fillId="0" borderId="33" xfId="7" applyNumberFormat="1" applyFont="1" applyBorder="1" applyAlignment="1" applyProtection="1"/>
    <xf numFmtId="2" fontId="11" fillId="0" borderId="33" xfId="7" applyNumberFormat="1" applyFont="1" applyBorder="1" applyAlignment="1" applyProtection="1"/>
    <xf numFmtId="0" fontId="0" fillId="0" borderId="33" xfId="0" applyBorder="1" applyAlignment="1"/>
    <xf numFmtId="165" fontId="10" fillId="7" borderId="34" xfId="0" applyNumberFormat="1" applyFont="1" applyFill="1" applyBorder="1"/>
    <xf numFmtId="0" fontId="10" fillId="7" borderId="36" xfId="0" applyFont="1" applyFill="1" applyBorder="1"/>
    <xf numFmtId="0" fontId="42" fillId="0" borderId="28" xfId="31" applyFont="1" applyFill="1" applyBorder="1"/>
    <xf numFmtId="0" fontId="10" fillId="15" borderId="16" xfId="9" applyFont="1" applyFill="1" applyBorder="1"/>
    <xf numFmtId="170" fontId="33" fillId="0" borderId="3" xfId="36" applyFont="1" applyFill="1" applyBorder="1"/>
    <xf numFmtId="170" fontId="33" fillId="0" borderId="3" xfId="36" applyNumberFormat="1" applyFont="1" applyFill="1" applyBorder="1"/>
    <xf numFmtId="0" fontId="10" fillId="0" borderId="21" xfId="9" applyFont="1" applyBorder="1"/>
    <xf numFmtId="165" fontId="10" fillId="7" borderId="34" xfId="9" applyNumberFormat="1" applyFont="1" applyFill="1" applyBorder="1"/>
    <xf numFmtId="0" fontId="10" fillId="7" borderId="34" xfId="9" applyFont="1" applyFill="1" applyBorder="1" applyAlignment="1">
      <alignment horizontal="right"/>
    </xf>
    <xf numFmtId="11" fontId="11" fillId="0" borderId="16" xfId="7" applyNumberFormat="1" applyFont="1" applyBorder="1" applyAlignment="1" applyProtection="1"/>
    <xf numFmtId="0" fontId="11" fillId="0" borderId="3" xfId="9" applyFont="1" applyBorder="1" applyAlignment="1">
      <alignment wrapText="1"/>
    </xf>
    <xf numFmtId="0" fontId="11" fillId="0" borderId="3" xfId="30" applyFont="1" applyFill="1" applyBorder="1" applyAlignment="1">
      <alignment wrapText="1"/>
    </xf>
    <xf numFmtId="170" fontId="11" fillId="0" borderId="3" xfId="3" applyFont="1" applyFill="1" applyBorder="1" applyAlignment="1">
      <alignment wrapText="1"/>
    </xf>
    <xf numFmtId="0" fontId="11" fillId="0" borderId="3" xfId="9" applyFont="1" applyFill="1" applyBorder="1"/>
    <xf numFmtId="0" fontId="11" fillId="0" borderId="3" xfId="9" applyFont="1" applyFill="1" applyBorder="1" applyAlignment="1">
      <alignment wrapText="1"/>
    </xf>
    <xf numFmtId="170" fontId="11" fillId="0" borderId="3" xfId="3" applyFont="1" applyFill="1" applyBorder="1"/>
    <xf numFmtId="1" fontId="11" fillId="0" borderId="3" xfId="9" applyNumberFormat="1" applyFont="1" applyFill="1" applyBorder="1"/>
    <xf numFmtId="1" fontId="11" fillId="0" borderId="3" xfId="9" applyNumberFormat="1" applyFont="1" applyBorder="1" applyAlignment="1">
      <alignment wrapText="1"/>
    </xf>
    <xf numFmtId="181" fontId="11" fillId="0" borderId="16" xfId="7" applyNumberFormat="1" applyFont="1" applyBorder="1" applyAlignment="1" applyProtection="1"/>
    <xf numFmtId="182" fontId="11" fillId="0" borderId="3" xfId="0" applyNumberFormat="1" applyFont="1" applyBorder="1" applyAlignment="1"/>
    <xf numFmtId="11" fontId="33" fillId="0" borderId="3" xfId="9" applyNumberFormat="1" applyFont="1" applyFill="1" applyBorder="1" applyAlignment="1">
      <alignment horizontal="right" wrapText="1"/>
    </xf>
    <xf numFmtId="0" fontId="10" fillId="7" borderId="34" xfId="0" applyFont="1" applyFill="1" applyBorder="1" applyAlignment="1">
      <alignment horizontal="right"/>
    </xf>
    <xf numFmtId="18" fontId="18" fillId="10" borderId="37" xfId="1" applyNumberFormat="1" applyFont="1" applyFill="1" applyBorder="1" applyAlignment="1" applyProtection="1">
      <protection locked="0"/>
    </xf>
    <xf numFmtId="0" fontId="25" fillId="10" borderId="37" xfId="8" applyFill="1" applyBorder="1" applyAlignment="1">
      <alignment horizontal="left"/>
    </xf>
    <xf numFmtId="172" fontId="18" fillId="10" borderId="37" xfId="5" applyNumberFormat="1" applyFont="1" applyFill="1" applyBorder="1" applyProtection="1">
      <protection locked="0"/>
    </xf>
    <xf numFmtId="0" fontId="18" fillId="10" borderId="37" xfId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>
      <alignment horizontal="right"/>
    </xf>
    <xf numFmtId="0" fontId="18" fillId="10" borderId="37" xfId="1" applyFont="1" applyFill="1" applyBorder="1" applyAlignment="1">
      <alignment horizontal="center"/>
    </xf>
    <xf numFmtId="0" fontId="18" fillId="10" borderId="5" xfId="1" applyFont="1" applyFill="1" applyBorder="1" applyProtection="1">
      <protection locked="0"/>
    </xf>
    <xf numFmtId="0" fontId="25" fillId="9" borderId="3" xfId="8" applyFill="1" applyBorder="1" applyAlignment="1">
      <alignment horizontal="left"/>
    </xf>
    <xf numFmtId="0" fontId="38" fillId="0" borderId="0" xfId="39" applyFont="1" applyBorder="1"/>
    <xf numFmtId="0" fontId="0" fillId="0" borderId="43" xfId="0" applyBorder="1"/>
    <xf numFmtId="170" fontId="38" fillId="0" borderId="0" xfId="39" applyNumberFormat="1" applyFont="1" applyBorder="1"/>
    <xf numFmtId="0" fontId="0" fillId="0" borderId="42" xfId="0" applyBorder="1"/>
    <xf numFmtId="0" fontId="38" fillId="0" borderId="0" xfId="39" applyFont="1" applyBorder="1" applyAlignment="1">
      <alignment horizontal="right"/>
    </xf>
    <xf numFmtId="37" fontId="38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5" fillId="0" borderId="0" xfId="8" applyFill="1" applyBorder="1"/>
    <xf numFmtId="170" fontId="33" fillId="0" borderId="3" xfId="36" applyFont="1" applyFill="1" applyBorder="1"/>
    <xf numFmtId="170" fontId="33" fillId="0" borderId="3" xfId="3" applyFont="1" applyFill="1" applyBorder="1"/>
    <xf numFmtId="170" fontId="33" fillId="0" borderId="3" xfId="36" applyNumberFormat="1" applyFont="1" applyFill="1" applyBorder="1"/>
    <xf numFmtId="0" fontId="25" fillId="0" borderId="0" xfId="8"/>
    <xf numFmtId="0" fontId="33" fillId="0" borderId="3" xfId="30" applyFont="1" applyFill="1" applyBorder="1" applyAlignment="1">
      <alignment wrapText="1"/>
    </xf>
    <xf numFmtId="165" fontId="11" fillId="0" borderId="3" xfId="7" applyNumberFormat="1" applyFont="1" applyBorder="1" applyAlignment="1" applyProtection="1"/>
    <xf numFmtId="164" fontId="11" fillId="0" borderId="3" xfId="7" applyNumberFormat="1" applyFont="1" applyBorder="1" applyAlignment="1" applyProtection="1"/>
    <xf numFmtId="0" fontId="38" fillId="0" borderId="44" xfId="39" applyFont="1" applyBorder="1"/>
    <xf numFmtId="0" fontId="43" fillId="0" borderId="44" xfId="39" applyFont="1" applyBorder="1"/>
    <xf numFmtId="0" fontId="43" fillId="0" borderId="0" xfId="39" applyFont="1" applyBorder="1"/>
    <xf numFmtId="1" fontId="33" fillId="0" borderId="46" xfId="42" applyNumberFormat="1" applyFont="1" applyFill="1" applyBorder="1"/>
    <xf numFmtId="0" fontId="33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3" fillId="16" borderId="38" xfId="39" applyFont="1" applyFill="1" applyBorder="1"/>
    <xf numFmtId="183" fontId="43" fillId="16" borderId="39" xfId="39" applyNumberFormat="1" applyFont="1" applyFill="1" applyBorder="1"/>
    <xf numFmtId="0" fontId="43" fillId="16" borderId="5" xfId="39" applyFont="1" applyFill="1" applyBorder="1" applyAlignment="1">
      <alignment horizontal="right"/>
    </xf>
    <xf numFmtId="170" fontId="43" fillId="16" borderId="39" xfId="39" applyNumberFormat="1" applyFont="1" applyFill="1" applyBorder="1"/>
    <xf numFmtId="0" fontId="43" fillId="16" borderId="46" xfId="39" applyFont="1" applyFill="1" applyBorder="1"/>
    <xf numFmtId="11" fontId="0" fillId="0" borderId="0" xfId="0" applyNumberFormat="1"/>
    <xf numFmtId="170" fontId="33" fillId="0" borderId="46" xfId="3" applyFont="1" applyFill="1" applyBorder="1"/>
    <xf numFmtId="170" fontId="33" fillId="0" borderId="46" xfId="3" applyNumberFormat="1" applyFont="1" applyFill="1" applyBorder="1" applyAlignment="1"/>
    <xf numFmtId="0" fontId="41" fillId="0" borderId="45" xfId="30" applyFont="1" applyFill="1" applyBorder="1" applyAlignment="1">
      <alignment wrapText="1"/>
    </xf>
    <xf numFmtId="0" fontId="44" fillId="0" borderId="46" xfId="39" applyFont="1" applyBorder="1"/>
    <xf numFmtId="0" fontId="41" fillId="13" borderId="46" xfId="42" applyFont="1" applyFill="1" applyBorder="1"/>
    <xf numFmtId="0" fontId="41" fillId="0" borderId="46" xfId="30" applyFont="1" applyFill="1" applyBorder="1" applyAlignment="1">
      <alignment wrapText="1"/>
    </xf>
    <xf numFmtId="0" fontId="44" fillId="0" borderId="0" xfId="39" applyFont="1" applyBorder="1"/>
    <xf numFmtId="170" fontId="41" fillId="13" borderId="46" xfId="42" applyNumberFormat="1" applyFont="1" applyFill="1" applyBorder="1"/>
    <xf numFmtId="170" fontId="41" fillId="0" borderId="46" xfId="3" applyNumberFormat="1" applyFont="1" applyFill="1" applyBorder="1" applyAlignment="1"/>
    <xf numFmtId="0" fontId="45" fillId="0" borderId="0" xfId="39" applyFont="1" applyBorder="1"/>
    <xf numFmtId="184" fontId="44" fillId="0" borderId="46" xfId="40" applyNumberFormat="1" applyFont="1" applyBorder="1"/>
    <xf numFmtId="0" fontId="41" fillId="0" borderId="0" xfId="0" applyFont="1" applyBorder="1"/>
    <xf numFmtId="0" fontId="10" fillId="8" borderId="51" xfId="0" applyFont="1" applyFill="1" applyBorder="1"/>
    <xf numFmtId="0" fontId="43" fillId="16" borderId="47" xfId="39" applyFont="1" applyFill="1" applyBorder="1"/>
    <xf numFmtId="0" fontId="33" fillId="0" borderId="46" xfId="42" applyFont="1" applyFill="1" applyBorder="1" applyAlignment="1" applyProtection="1">
      <alignment wrapText="1"/>
    </xf>
    <xf numFmtId="0" fontId="33" fillId="0" borderId="46" xfId="42" applyFont="1" applyFill="1" applyBorder="1" applyAlignment="1">
      <alignment horizontal="left"/>
    </xf>
    <xf numFmtId="177" fontId="33" fillId="0" borderId="46" xfId="42" applyNumberFormat="1" applyFont="1" applyFill="1" applyBorder="1"/>
    <xf numFmtId="0" fontId="33" fillId="0" borderId="46" xfId="42" applyFont="1" applyFill="1" applyBorder="1"/>
    <xf numFmtId="43" fontId="33" fillId="0" borderId="46" xfId="41" applyFont="1" applyFill="1" applyBorder="1"/>
    <xf numFmtId="11" fontId="33" fillId="0" borderId="46" xfId="42" applyNumberFormat="1" applyFont="1" applyFill="1" applyBorder="1" applyAlignment="1">
      <alignment wrapText="1"/>
    </xf>
    <xf numFmtId="11" fontId="33" fillId="0" borderId="46" xfId="41" applyNumberFormat="1" applyFont="1" applyFill="1" applyBorder="1"/>
    <xf numFmtId="0" fontId="33" fillId="0" borderId="46" xfId="41" applyNumberFormat="1" applyFont="1" applyFill="1" applyBorder="1"/>
    <xf numFmtId="170" fontId="33" fillId="0" borderId="46" xfId="36" applyNumberFormat="1" applyFont="1" applyFill="1" applyBorder="1"/>
    <xf numFmtId="170" fontId="38" fillId="0" borderId="46" xfId="43" applyFont="1" applyFill="1" applyBorder="1">
      <alignment vertical="center" wrapText="1"/>
    </xf>
    <xf numFmtId="11" fontId="3" fillId="0" borderId="46" xfId="39" applyNumberFormat="1" applyBorder="1"/>
    <xf numFmtId="0" fontId="33" fillId="0" borderId="46" xfId="39" applyFont="1" applyFill="1" applyBorder="1" applyAlignment="1" applyProtection="1">
      <alignment vertical="center" wrapText="1"/>
    </xf>
    <xf numFmtId="0" fontId="41" fillId="0" borderId="47" xfId="42" applyFont="1" applyBorder="1"/>
    <xf numFmtId="0" fontId="41" fillId="0" borderId="46" xfId="42" applyFont="1" applyBorder="1" applyAlignment="1">
      <alignment wrapText="1"/>
    </xf>
    <xf numFmtId="170" fontId="41" fillId="0" borderId="46" xfId="3" applyFont="1" applyFill="1" applyBorder="1"/>
    <xf numFmtId="0" fontId="41" fillId="0" borderId="46" xfId="42" applyFont="1" applyBorder="1"/>
    <xf numFmtId="0" fontId="41" fillId="0" borderId="47" xfId="42" applyFont="1" applyFill="1" applyBorder="1"/>
    <xf numFmtId="0" fontId="33" fillId="0" borderId="46" xfId="30" applyFont="1" applyFill="1" applyBorder="1" applyAlignment="1">
      <alignment wrapText="1"/>
    </xf>
    <xf numFmtId="175" fontId="41" fillId="0" borderId="46" xfId="42" applyNumberFormat="1" applyFont="1" applyFill="1" applyBorder="1"/>
    <xf numFmtId="0" fontId="38" fillId="0" borderId="3" xfId="9" applyFont="1" applyBorder="1" applyAlignment="1">
      <alignment wrapText="1"/>
    </xf>
    <xf numFmtId="0" fontId="38" fillId="0" borderId="3" xfId="30" applyFont="1" applyFill="1" applyBorder="1" applyAlignment="1">
      <alignment wrapText="1"/>
    </xf>
    <xf numFmtId="170" fontId="38" fillId="0" borderId="3" xfId="3" applyFont="1" applyFill="1" applyBorder="1" applyAlignment="1">
      <alignment wrapText="1"/>
    </xf>
    <xf numFmtId="170" fontId="38" fillId="0" borderId="3" xfId="3" applyNumberFormat="1" applyFont="1" applyFill="1" applyBorder="1" applyAlignment="1">
      <alignment wrapText="1"/>
    </xf>
    <xf numFmtId="0" fontId="38" fillId="0" borderId="3" xfId="9" applyFont="1" applyFill="1" applyBorder="1"/>
    <xf numFmtId="0" fontId="38" fillId="0" borderId="3" xfId="9" applyFont="1" applyFill="1" applyBorder="1" applyAlignment="1">
      <alignment wrapText="1"/>
    </xf>
    <xf numFmtId="170" fontId="38" fillId="0" borderId="3" xfId="3" applyFont="1" applyFill="1" applyBorder="1"/>
    <xf numFmtId="1" fontId="38" fillId="0" borderId="3" xfId="9" applyNumberFormat="1" applyFont="1" applyFill="1" applyBorder="1"/>
    <xf numFmtId="170" fontId="38" fillId="0" borderId="3" xfId="3" applyNumberFormat="1" applyFont="1" applyFill="1" applyBorder="1" applyAlignment="1"/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3" fillId="8" borderId="16" xfId="0" applyFont="1" applyFill="1" applyBorder="1"/>
    <xf numFmtId="0" fontId="38" fillId="0" borderId="0" xfId="0" applyFont="1" applyBorder="1"/>
    <xf numFmtId="0" fontId="46" fillId="0" borderId="0" xfId="0" applyFont="1" applyBorder="1"/>
    <xf numFmtId="0" fontId="47" fillId="0" borderId="0" xfId="8" applyFont="1" applyBorder="1"/>
    <xf numFmtId="0" fontId="43" fillId="8" borderId="16" xfId="0" applyFont="1" applyFill="1" applyBorder="1" applyAlignment="1">
      <alignment horizontal="left"/>
    </xf>
    <xf numFmtId="0" fontId="38" fillId="0" borderId="16" xfId="0" applyFont="1" applyBorder="1" applyAlignment="1">
      <alignment horizontal="right"/>
    </xf>
    <xf numFmtId="165" fontId="38" fillId="0" borderId="16" xfId="7" applyNumberFormat="1" applyFont="1" applyBorder="1" applyAlignment="1" applyProtection="1"/>
    <xf numFmtId="0" fontId="46" fillId="0" borderId="20" xfId="0" applyFont="1" applyBorder="1"/>
    <xf numFmtId="0" fontId="46" fillId="0" borderId="0" xfId="0" applyFont="1"/>
    <xf numFmtId="37" fontId="38" fillId="0" borderId="16" xfId="7" applyNumberFormat="1" applyFont="1" applyBorder="1" applyAlignment="1" applyProtection="1"/>
    <xf numFmtId="0" fontId="43" fillId="8" borderId="2" xfId="0" applyFont="1" applyFill="1" applyBorder="1"/>
    <xf numFmtId="0" fontId="38" fillId="0" borderId="16" xfId="7" applyNumberFormat="1" applyFont="1" applyBorder="1" applyAlignment="1" applyProtection="1"/>
    <xf numFmtId="49" fontId="38" fillId="0" borderId="0" xfId="0" applyNumberFormat="1" applyFont="1" applyBorder="1" applyAlignment="1">
      <alignment horizontal="left"/>
    </xf>
    <xf numFmtId="0" fontId="43" fillId="0" borderId="26" xfId="0" applyFont="1" applyBorder="1"/>
    <xf numFmtId="0" fontId="43" fillId="0" borderId="4" xfId="0" applyFont="1" applyBorder="1"/>
    <xf numFmtId="0" fontId="43" fillId="8" borderId="27" xfId="0" applyFont="1" applyFill="1" applyBorder="1"/>
    <xf numFmtId="0" fontId="43" fillId="8" borderId="5" xfId="0" applyFont="1" applyFill="1" applyBorder="1"/>
    <xf numFmtId="0" fontId="43" fillId="8" borderId="3" xfId="0" applyFont="1" applyFill="1" applyBorder="1"/>
    <xf numFmtId="0" fontId="38" fillId="0" borderId="22" xfId="0" applyFont="1" applyBorder="1" applyAlignment="1"/>
    <xf numFmtId="0" fontId="38" fillId="0" borderId="3" xfId="9" applyFont="1" applyFill="1" applyBorder="1" applyAlignment="1" applyProtection="1">
      <alignment wrapText="1"/>
    </xf>
    <xf numFmtId="0" fontId="38" fillId="0" borderId="3" xfId="9" applyFont="1" applyFill="1" applyBorder="1" applyAlignment="1">
      <alignment horizontal="left" wrapText="1"/>
    </xf>
    <xf numFmtId="178" fontId="38" fillId="0" borderId="3" xfId="0" applyNumberFormat="1" applyFont="1" applyBorder="1" applyAlignment="1"/>
    <xf numFmtId="0" fontId="38" fillId="0" borderId="3" xfId="0" applyFont="1" applyBorder="1" applyAlignment="1"/>
    <xf numFmtId="164" fontId="38" fillId="0" borderId="3" xfId="7" applyNumberFormat="1" applyFont="1" applyBorder="1" applyAlignment="1" applyProtection="1"/>
    <xf numFmtId="11" fontId="38" fillId="0" borderId="3" xfId="0" applyNumberFormat="1" applyFont="1" applyBorder="1" applyAlignment="1"/>
    <xf numFmtId="11" fontId="38" fillId="0" borderId="16" xfId="7" applyNumberFormat="1" applyFont="1" applyBorder="1" applyAlignment="1" applyProtection="1"/>
    <xf numFmtId="164" fontId="38" fillId="0" borderId="16" xfId="7" applyNumberFormat="1" applyFont="1" applyBorder="1" applyAlignment="1" applyProtection="1"/>
    <xf numFmtId="0" fontId="46" fillId="0" borderId="16" xfId="0" applyFont="1" applyBorder="1" applyAlignment="1"/>
    <xf numFmtId="1" fontId="38" fillId="0" borderId="3" xfId="7" applyNumberFormat="1" applyFont="1" applyBorder="1" applyAlignment="1" applyProtection="1"/>
    <xf numFmtId="165" fontId="38" fillId="0" borderId="3" xfId="7" applyNumberFormat="1" applyFont="1" applyBorder="1" applyAlignment="1" applyProtection="1"/>
    <xf numFmtId="0" fontId="46" fillId="0" borderId="20" xfId="0" applyFont="1" applyBorder="1" applyAlignment="1"/>
    <xf numFmtId="0" fontId="43" fillId="0" borderId="21" xfId="0" applyFont="1" applyBorder="1"/>
    <xf numFmtId="0" fontId="43" fillId="0" borderId="0" xfId="0" applyFont="1" applyBorder="1"/>
    <xf numFmtId="0" fontId="43" fillId="8" borderId="3" xfId="0" applyFont="1" applyFill="1" applyBorder="1" applyAlignment="1">
      <alignment horizontal="right"/>
    </xf>
    <xf numFmtId="165" fontId="43" fillId="8" borderId="5" xfId="0" applyNumberFormat="1" applyFont="1" applyFill="1" applyBorder="1"/>
    <xf numFmtId="0" fontId="46" fillId="0" borderId="21" xfId="0" applyFont="1" applyBorder="1"/>
    <xf numFmtId="0" fontId="43" fillId="8" borderId="22" xfId="0" applyFont="1" applyFill="1" applyBorder="1"/>
    <xf numFmtId="177" fontId="38" fillId="0" borderId="3" xfId="9" applyNumberFormat="1" applyFont="1" applyFill="1" applyBorder="1" applyAlignment="1">
      <alignment horizontal="right" wrapText="1"/>
    </xf>
    <xf numFmtId="0" fontId="46" fillId="0" borderId="0" xfId="0" applyFont="1" applyBorder="1" applyAlignment="1">
      <alignment wrapText="1"/>
    </xf>
    <xf numFmtId="0" fontId="46" fillId="0" borderId="20" xfId="0" applyFont="1" applyBorder="1" applyAlignment="1">
      <alignment wrapText="1"/>
    </xf>
    <xf numFmtId="0" fontId="43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47" fillId="0" borderId="0" xfId="8" applyFont="1"/>
    <xf numFmtId="0" fontId="38" fillId="0" borderId="0" xfId="0" applyFont="1" applyBorder="1" applyAlignment="1">
      <alignment horizontal="left"/>
    </xf>
    <xf numFmtId="0" fontId="46" fillId="0" borderId="3" xfId="0" applyFont="1" applyBorder="1"/>
    <xf numFmtId="0" fontId="38" fillId="13" borderId="3" xfId="9" applyFont="1" applyFill="1" applyBorder="1"/>
    <xf numFmtId="170" fontId="38" fillId="13" borderId="3" xfId="9" applyNumberFormat="1" applyFont="1" applyFill="1" applyBorder="1"/>
    <xf numFmtId="0" fontId="46" fillId="0" borderId="3" xfId="9" applyFont="1" applyBorder="1"/>
    <xf numFmtId="170" fontId="46" fillId="0" borderId="3" xfId="9" applyNumberFormat="1" applyFont="1" applyBorder="1"/>
    <xf numFmtId="181" fontId="38" fillId="0" borderId="16" xfId="7" applyNumberFormat="1" applyFont="1" applyBorder="1" applyAlignment="1" applyProtection="1"/>
    <xf numFmtId="0" fontId="38" fillId="0" borderId="16" xfId="0" applyFont="1" applyBorder="1"/>
    <xf numFmtId="0" fontId="38" fillId="0" borderId="3" xfId="9" applyFont="1" applyFill="1" applyBorder="1" applyAlignment="1"/>
    <xf numFmtId="0" fontId="38" fillId="0" borderId="3" xfId="9" applyFont="1" applyFill="1" applyBorder="1" applyAlignment="1" applyProtection="1"/>
    <xf numFmtId="170" fontId="38" fillId="0" borderId="3" xfId="3" applyFont="1" applyFill="1" applyBorder="1" applyAlignment="1"/>
    <xf numFmtId="0" fontId="38" fillId="0" borderId="3" xfId="9" applyNumberFormat="1" applyFont="1" applyFill="1" applyBorder="1" applyAlignment="1"/>
    <xf numFmtId="171" fontId="38" fillId="0" borderId="3" xfId="35" applyFont="1" applyFill="1" applyBorder="1" applyAlignment="1"/>
    <xf numFmtId="11" fontId="38" fillId="0" borderId="3" xfId="9" applyNumberFormat="1" applyFont="1" applyFill="1" applyBorder="1" applyAlignment="1">
      <alignment wrapText="1"/>
    </xf>
    <xf numFmtId="11" fontId="38" fillId="0" borderId="3" xfId="37" applyNumberFormat="1" applyFont="1" applyFill="1" applyBorder="1" applyAlignment="1"/>
    <xf numFmtId="180" fontId="38" fillId="0" borderId="3" xfId="35" applyNumberFormat="1" applyFont="1" applyFill="1" applyBorder="1" applyAlignment="1"/>
    <xf numFmtId="2" fontId="38" fillId="0" borderId="3" xfId="35" applyNumberFormat="1" applyFont="1" applyFill="1" applyBorder="1" applyAlignment="1"/>
    <xf numFmtId="0" fontId="38" fillId="0" borderId="3" xfId="9" applyNumberFormat="1" applyFont="1" applyFill="1" applyBorder="1"/>
    <xf numFmtId="170" fontId="38" fillId="0" borderId="3" xfId="36" applyFont="1" applyFill="1" applyBorder="1"/>
    <xf numFmtId="170" fontId="38" fillId="0" borderId="3" xfId="36" applyNumberFormat="1" applyFont="1" applyFill="1" applyBorder="1"/>
    <xf numFmtId="3" fontId="38" fillId="0" borderId="3" xfId="9" applyNumberFormat="1" applyFont="1" applyBorder="1" applyAlignment="1"/>
    <xf numFmtId="0" fontId="38" fillId="0" borderId="20" xfId="9" applyFont="1" applyBorder="1" applyAlignment="1"/>
    <xf numFmtId="0" fontId="48" fillId="0" borderId="0" xfId="39" applyFont="1" applyBorder="1"/>
    <xf numFmtId="0" fontId="48" fillId="0" borderId="0" xfId="39" applyFont="1" applyBorder="1" applyAlignment="1">
      <alignment horizontal="right"/>
    </xf>
    <xf numFmtId="0" fontId="49" fillId="16" borderId="46" xfId="39" applyFont="1" applyFill="1" applyBorder="1"/>
    <xf numFmtId="170" fontId="48" fillId="0" borderId="0" xfId="39" applyNumberFormat="1" applyFont="1" applyBorder="1"/>
    <xf numFmtId="37" fontId="48" fillId="0" borderId="0" xfId="39" applyNumberFormat="1" applyFont="1" applyBorder="1"/>
    <xf numFmtId="0" fontId="48" fillId="0" borderId="44" xfId="39" applyFont="1" applyBorder="1"/>
    <xf numFmtId="0" fontId="49" fillId="16" borderId="47" xfId="39" applyFont="1" applyFill="1" applyBorder="1"/>
    <xf numFmtId="0" fontId="49" fillId="16" borderId="38" xfId="39" applyFont="1" applyFill="1" applyBorder="1"/>
    <xf numFmtId="170" fontId="48" fillId="0" borderId="46" xfId="43" applyFont="1" applyFill="1" applyBorder="1">
      <alignment vertical="center" wrapText="1"/>
    </xf>
    <xf numFmtId="11" fontId="44" fillId="0" borderId="46" xfId="39" applyNumberFormat="1" applyFont="1" applyBorder="1"/>
    <xf numFmtId="0" fontId="49" fillId="0" borderId="44" xfId="39" applyFont="1" applyBorder="1"/>
    <xf numFmtId="0" fontId="49" fillId="0" borderId="0" xfId="39" applyFont="1" applyBorder="1"/>
    <xf numFmtId="0" fontId="49" fillId="16" borderId="5" xfId="39" applyFont="1" applyFill="1" applyBorder="1" applyAlignment="1">
      <alignment horizontal="right"/>
    </xf>
    <xf numFmtId="0" fontId="50" fillId="0" borderId="40" xfId="0" applyFont="1" applyBorder="1"/>
    <xf numFmtId="0" fontId="50" fillId="0" borderId="41" xfId="0" applyFont="1" applyBorder="1"/>
    <xf numFmtId="0" fontId="50" fillId="0" borderId="42" xfId="0" applyFont="1" applyBorder="1"/>
    <xf numFmtId="0" fontId="49" fillId="8" borderId="51" xfId="0" applyFont="1" applyFill="1" applyBorder="1"/>
    <xf numFmtId="0" fontId="48" fillId="0" borderId="0" xfId="0" applyFont="1" applyBorder="1"/>
    <xf numFmtId="0" fontId="49" fillId="8" borderId="16" xfId="0" applyFont="1" applyFill="1" applyBorder="1"/>
    <xf numFmtId="0" fontId="50" fillId="0" borderId="43" xfId="0" applyFont="1" applyBorder="1"/>
    <xf numFmtId="0" fontId="51" fillId="0" borderId="0" xfId="8" applyFont="1" applyBorder="1"/>
    <xf numFmtId="0" fontId="48" fillId="0" borderId="16" xfId="0" applyFont="1" applyBorder="1"/>
    <xf numFmtId="49" fontId="48" fillId="0" borderId="0" xfId="0" applyNumberFormat="1" applyFont="1" applyBorder="1" applyAlignment="1">
      <alignment horizontal="left"/>
    </xf>
    <xf numFmtId="0" fontId="48" fillId="0" borderId="47" xfId="42" applyFont="1" applyFill="1" applyBorder="1"/>
    <xf numFmtId="0" fontId="48" fillId="0" borderId="46" xfId="42" applyFont="1" applyFill="1" applyBorder="1" applyAlignment="1" applyProtection="1">
      <alignment wrapText="1"/>
    </xf>
    <xf numFmtId="0" fontId="48" fillId="0" borderId="46" xfId="42" applyFont="1" applyFill="1" applyBorder="1" applyAlignment="1">
      <alignment horizontal="left"/>
    </xf>
    <xf numFmtId="170" fontId="48" fillId="0" borderId="46" xfId="3" applyFont="1" applyFill="1" applyBorder="1"/>
    <xf numFmtId="177" fontId="48" fillId="0" borderId="46" xfId="42" applyNumberFormat="1" applyFont="1" applyFill="1" applyBorder="1"/>
    <xf numFmtId="0" fontId="48" fillId="0" borderId="46" xfId="42" applyFont="1" applyFill="1" applyBorder="1"/>
    <xf numFmtId="43" fontId="48" fillId="0" borderId="46" xfId="41" applyFont="1" applyFill="1" applyBorder="1"/>
    <xf numFmtId="11" fontId="48" fillId="0" borderId="46" xfId="42" applyNumberFormat="1" applyFont="1" applyFill="1" applyBorder="1" applyAlignment="1">
      <alignment wrapText="1"/>
    </xf>
    <xf numFmtId="11" fontId="48" fillId="0" borderId="46" xfId="41" applyNumberFormat="1" applyFont="1" applyFill="1" applyBorder="1"/>
    <xf numFmtId="0" fontId="48" fillId="0" borderId="46" xfId="41" applyNumberFormat="1" applyFont="1" applyFill="1" applyBorder="1"/>
    <xf numFmtId="170" fontId="48" fillId="0" borderId="46" xfId="36" applyNumberFormat="1" applyFont="1" applyFill="1" applyBorder="1"/>
    <xf numFmtId="0" fontId="48" fillId="0" borderId="46" xfId="39" applyFont="1" applyFill="1" applyBorder="1" applyAlignment="1" applyProtection="1">
      <alignment vertical="center" wrapText="1"/>
    </xf>
    <xf numFmtId="0" fontId="44" fillId="0" borderId="47" xfId="42" applyFont="1" applyBorder="1"/>
    <xf numFmtId="0" fontId="44" fillId="0" borderId="46" xfId="30" applyFont="1" applyFill="1" applyBorder="1" applyAlignment="1">
      <alignment wrapText="1"/>
    </xf>
    <xf numFmtId="0" fontId="44" fillId="0" borderId="46" xfId="42" applyFont="1" applyBorder="1" applyAlignment="1">
      <alignment wrapText="1"/>
    </xf>
    <xf numFmtId="170" fontId="44" fillId="0" borderId="46" xfId="3" applyFont="1" applyFill="1" applyBorder="1"/>
    <xf numFmtId="0" fontId="44" fillId="0" borderId="46" xfId="42" applyFont="1" applyBorder="1"/>
    <xf numFmtId="170" fontId="48" fillId="0" borderId="46" xfId="3" applyNumberFormat="1" applyFont="1" applyFill="1" applyBorder="1" applyAlignment="1"/>
    <xf numFmtId="0" fontId="44" fillId="0" borderId="47" xfId="42" applyFont="1" applyFill="1" applyBorder="1"/>
    <xf numFmtId="0" fontId="44" fillId="0" borderId="45" xfId="30" applyFont="1" applyFill="1" applyBorder="1" applyAlignment="1">
      <alignment wrapText="1"/>
    </xf>
    <xf numFmtId="175" fontId="44" fillId="0" borderId="46" xfId="42" applyNumberFormat="1" applyFont="1" applyFill="1" applyBorder="1"/>
    <xf numFmtId="0" fontId="48" fillId="0" borderId="46" xfId="30" applyFont="1" applyFill="1" applyBorder="1" applyAlignment="1">
      <alignment wrapText="1"/>
    </xf>
    <xf numFmtId="0" fontId="44" fillId="13" borderId="46" xfId="42" applyFont="1" applyFill="1" applyBorder="1"/>
    <xf numFmtId="170" fontId="44" fillId="13" borderId="46" xfId="42" applyNumberFormat="1" applyFont="1" applyFill="1" applyBorder="1"/>
    <xf numFmtId="170" fontId="44" fillId="0" borderId="46" xfId="3" applyNumberFormat="1" applyFont="1" applyFill="1" applyBorder="1" applyAlignment="1"/>
    <xf numFmtId="11" fontId="44" fillId="0" borderId="46" xfId="42" applyNumberFormat="1" applyFont="1" applyBorder="1"/>
    <xf numFmtId="0" fontId="44" fillId="0" borderId="0" xfId="0" applyFont="1" applyBorder="1"/>
    <xf numFmtId="0" fontId="50" fillId="0" borderId="0" xfId="0" applyFont="1" applyBorder="1"/>
    <xf numFmtId="0" fontId="50" fillId="0" borderId="48" xfId="0" applyFont="1" applyBorder="1"/>
    <xf numFmtId="0" fontId="50" fillId="0" borderId="49" xfId="0" applyFont="1" applyBorder="1"/>
    <xf numFmtId="0" fontId="50" fillId="0" borderId="50" xfId="0" applyFont="1" applyBorder="1"/>
    <xf numFmtId="0" fontId="25" fillId="0" borderId="33" xfId="8" applyNumberFormat="1" applyBorder="1" applyAlignment="1" applyProtection="1"/>
    <xf numFmtId="0" fontId="25" fillId="0" borderId="46" xfId="8" applyNumberFormat="1" applyBorder="1" applyAlignment="1" applyProtection="1"/>
    <xf numFmtId="0" fontId="11" fillId="0" borderId="46" xfId="0" applyFont="1" applyFill="1" applyBorder="1"/>
    <xf numFmtId="165" fontId="11" fillId="0" borderId="35" xfId="7" applyNumberFormat="1" applyFont="1" applyBorder="1" applyAlignment="1" applyProtection="1"/>
    <xf numFmtId="165" fontId="11" fillId="0" borderId="52" xfId="7" applyNumberFormat="1" applyFont="1" applyBorder="1" applyAlignment="1" applyProtection="1"/>
    <xf numFmtId="0" fontId="18" fillId="10" borderId="46" xfId="1" applyFont="1" applyFill="1" applyBorder="1" applyProtection="1">
      <protection locked="0"/>
    </xf>
    <xf numFmtId="18" fontId="18" fillId="10" borderId="46" xfId="1" applyNumberFormat="1" applyFont="1" applyFill="1" applyBorder="1" applyAlignment="1" applyProtection="1">
      <protection locked="0"/>
    </xf>
    <xf numFmtId="0" fontId="25" fillId="10" borderId="46" xfId="8" applyFill="1" applyBorder="1" applyAlignment="1">
      <alignment horizontal="left"/>
    </xf>
    <xf numFmtId="0" fontId="18" fillId="10" borderId="46" xfId="1" applyFont="1" applyFill="1" applyBorder="1" applyAlignment="1">
      <alignment horizontal="center"/>
    </xf>
    <xf numFmtId="0" fontId="43" fillId="7" borderId="16" xfId="0" applyFont="1" applyFill="1" applyBorder="1"/>
    <xf numFmtId="172" fontId="38" fillId="0" borderId="16" xfId="7" applyNumberFormat="1" applyFont="1" applyBorder="1" applyAlignment="1" applyProtection="1"/>
    <xf numFmtId="0" fontId="43" fillId="7" borderId="0" xfId="0" applyFont="1" applyFill="1" applyBorder="1"/>
    <xf numFmtId="0" fontId="47" fillId="0" borderId="16" xfId="8" applyNumberFormat="1" applyFont="1" applyBorder="1" applyAlignment="1" applyProtection="1"/>
    <xf numFmtId="0" fontId="38" fillId="0" borderId="16" xfId="0" applyNumberFormat="1" applyFont="1" applyBorder="1"/>
    <xf numFmtId="0" fontId="38" fillId="0" borderId="20" xfId="7" applyNumberFormat="1" applyFont="1" applyBorder="1" applyAlignment="1"/>
    <xf numFmtId="0" fontId="38" fillId="0" borderId="46" xfId="0" applyFont="1" applyFill="1" applyBorder="1"/>
    <xf numFmtId="0" fontId="38" fillId="0" borderId="33" xfId="0" applyFont="1" applyBorder="1"/>
    <xf numFmtId="0" fontId="43" fillId="7" borderId="16" xfId="0" applyFont="1" applyFill="1" applyBorder="1" applyAlignment="1">
      <alignment horizontal="right"/>
    </xf>
    <xf numFmtId="165" fontId="43" fillId="7" borderId="16" xfId="0" applyNumberFormat="1" applyFont="1" applyFill="1" applyBorder="1"/>
    <xf numFmtId="165" fontId="38" fillId="0" borderId="33" xfId="7" applyNumberFormat="1" applyFont="1" applyBorder="1" applyAlignment="1" applyProtection="1"/>
    <xf numFmtId="0" fontId="46" fillId="0" borderId="16" xfId="7" applyNumberFormat="1" applyFont="1" applyBorder="1" applyAlignment="1">
      <alignment wrapText="1"/>
    </xf>
    <xf numFmtId="0" fontId="46" fillId="0" borderId="16" xfId="0" applyFont="1" applyBorder="1"/>
    <xf numFmtId="0" fontId="43" fillId="7" borderId="33" xfId="0" applyFont="1" applyFill="1" applyBorder="1"/>
    <xf numFmtId="0" fontId="43" fillId="7" borderId="34" xfId="0" applyFont="1" applyFill="1" applyBorder="1"/>
    <xf numFmtId="165" fontId="43" fillId="7" borderId="34" xfId="0" applyNumberFormat="1" applyFont="1" applyFill="1" applyBorder="1"/>
    <xf numFmtId="0" fontId="38" fillId="0" borderId="46" xfId="0" applyFont="1" applyBorder="1"/>
    <xf numFmtId="170" fontId="38" fillId="0" borderId="46" xfId="11" applyFont="1" applyFill="1" applyBorder="1">
      <alignment vertical="center" wrapText="1"/>
    </xf>
    <xf numFmtId="164" fontId="38" fillId="0" borderId="46" xfId="7" applyNumberFormat="1" applyFont="1" applyBorder="1" applyAlignment="1" applyProtection="1"/>
    <xf numFmtId="11" fontId="38" fillId="0" borderId="46" xfId="0" applyNumberFormat="1" applyFont="1" applyBorder="1"/>
    <xf numFmtId="167" fontId="38" fillId="0" borderId="46" xfId="7" applyNumberFormat="1" applyFont="1" applyBorder="1" applyAlignment="1" applyProtection="1"/>
    <xf numFmtId="169" fontId="38" fillId="0" borderId="46" xfId="7" applyNumberFormat="1" applyFont="1" applyBorder="1" applyAlignment="1" applyProtection="1"/>
    <xf numFmtId="165" fontId="38" fillId="0" borderId="46" xfId="7" applyNumberFormat="1" applyFont="1" applyBorder="1" applyAlignment="1" applyProtection="1"/>
    <xf numFmtId="0" fontId="38" fillId="0" borderId="46" xfId="31" applyFont="1" applyFill="1" applyBorder="1"/>
    <xf numFmtId="0" fontId="38" fillId="0" borderId="46" xfId="31" applyFont="1" applyFill="1" applyBorder="1" applyAlignment="1">
      <alignment wrapText="1"/>
    </xf>
    <xf numFmtId="0" fontId="38" fillId="0" borderId="46" xfId="0" applyFont="1" applyBorder="1" applyAlignment="1"/>
    <xf numFmtId="11" fontId="38" fillId="0" borderId="46" xfId="0" applyNumberFormat="1" applyFont="1" applyBorder="1" applyAlignment="1"/>
    <xf numFmtId="173" fontId="38" fillId="0" borderId="46" xfId="7" applyNumberFormat="1" applyFont="1" applyBorder="1" applyAlignment="1" applyProtection="1"/>
    <xf numFmtId="168" fontId="38" fillId="0" borderId="46" xfId="7" applyNumberFormat="1" applyFont="1" applyBorder="1" applyAlignment="1" applyProtection="1"/>
    <xf numFmtId="0" fontId="46" fillId="0" borderId="46" xfId="0" applyFont="1" applyBorder="1" applyAlignment="1"/>
    <xf numFmtId="2" fontId="38" fillId="0" borderId="46" xfId="7" applyNumberFormat="1" applyFont="1" applyBorder="1" applyAlignment="1" applyProtection="1"/>
    <xf numFmtId="0" fontId="47" fillId="0" borderId="33" xfId="8" applyNumberFormat="1" applyFont="1" applyBorder="1" applyAlignment="1" applyProtection="1"/>
    <xf numFmtId="0" fontId="38" fillId="0" borderId="33" xfId="0" applyNumberFormat="1" applyFont="1" applyBorder="1"/>
    <xf numFmtId="0" fontId="43" fillId="7" borderId="34" xfId="0" applyFont="1" applyFill="1" applyBorder="1" applyAlignment="1">
      <alignment horizontal="right"/>
    </xf>
    <xf numFmtId="0" fontId="33" fillId="0" borderId="46" xfId="42" applyFont="1" applyFill="1" applyBorder="1" applyAlignment="1"/>
    <xf numFmtId="0" fontId="33" fillId="0" borderId="46" xfId="42" applyFont="1" applyFill="1" applyBorder="1" applyAlignment="1" applyProtection="1"/>
    <xf numFmtId="170" fontId="33" fillId="0" borderId="46" xfId="3" applyFont="1" applyFill="1" applyBorder="1" applyAlignment="1"/>
    <xf numFmtId="0" fontId="33" fillId="0" borderId="46" xfId="42" applyNumberFormat="1" applyFont="1" applyFill="1" applyBorder="1" applyAlignment="1"/>
    <xf numFmtId="171" fontId="33" fillId="0" borderId="46" xfId="35" applyFont="1" applyFill="1" applyBorder="1" applyAlignment="1"/>
    <xf numFmtId="0" fontId="12" fillId="0" borderId="46" xfId="42" applyBorder="1" applyAlignment="1">
      <alignment wrapText="1"/>
    </xf>
    <xf numFmtId="0" fontId="33" fillId="0" borderId="46" xfId="42" applyFont="1" applyBorder="1" applyAlignment="1">
      <alignment wrapText="1"/>
    </xf>
    <xf numFmtId="170" fontId="33" fillId="0" borderId="46" xfId="3" applyFont="1" applyFill="1" applyBorder="1" applyAlignment="1">
      <alignment wrapText="1"/>
    </xf>
    <xf numFmtId="170" fontId="33" fillId="0" borderId="46" xfId="3" applyNumberFormat="1" applyFont="1" applyFill="1" applyBorder="1" applyAlignment="1">
      <alignment wrapText="1"/>
    </xf>
    <xf numFmtId="0" fontId="33" fillId="0" borderId="46" xfId="42" applyFont="1" applyFill="1" applyBorder="1" applyAlignment="1">
      <alignment wrapText="1"/>
    </xf>
    <xf numFmtId="0" fontId="33" fillId="0" borderId="46" xfId="42" applyFont="1" applyBorder="1"/>
    <xf numFmtId="0" fontId="12" fillId="0" borderId="0" xfId="42" applyBorder="1" applyAlignment="1">
      <alignment wrapText="1"/>
    </xf>
    <xf numFmtId="0" fontId="12" fillId="0" borderId="20" xfId="42" applyBorder="1" applyAlignment="1">
      <alignment wrapText="1"/>
    </xf>
    <xf numFmtId="0" fontId="12" fillId="0" borderId="0" xfId="42"/>
    <xf numFmtId="0" fontId="12" fillId="0" borderId="0" xfId="42" applyBorder="1"/>
    <xf numFmtId="0" fontId="12" fillId="0" borderId="20" xfId="42" applyBorder="1"/>
    <xf numFmtId="0" fontId="12" fillId="0" borderId="0" xfId="42" applyFont="1" applyBorder="1"/>
    <xf numFmtId="0" fontId="12" fillId="0" borderId="20" xfId="42" applyFont="1" applyBorder="1"/>
    <xf numFmtId="0" fontId="10" fillId="0" borderId="0" xfId="42" applyFont="1" applyBorder="1"/>
    <xf numFmtId="0" fontId="12" fillId="13" borderId="0" xfId="42" applyFill="1" applyBorder="1"/>
    <xf numFmtId="2" fontId="33" fillId="0" borderId="3" xfId="9" applyNumberFormat="1" applyFont="1" applyFill="1" applyBorder="1" applyAlignment="1">
      <alignment horizontal="right" wrapText="1"/>
    </xf>
    <xf numFmtId="0" fontId="50" fillId="0" borderId="17" xfId="0" applyFont="1" applyBorder="1"/>
    <xf numFmtId="0" fontId="50" fillId="0" borderId="18" xfId="0" applyFont="1" applyBorder="1"/>
    <xf numFmtId="0" fontId="50" fillId="0" borderId="19" xfId="0" applyFont="1" applyBorder="1"/>
    <xf numFmtId="0" fontId="49" fillId="8" borderId="16" xfId="0" applyFont="1" applyFill="1" applyBorder="1" applyAlignment="1">
      <alignment horizontal="left"/>
    </xf>
    <xf numFmtId="0" fontId="48" fillId="0" borderId="16" xfId="0" applyFont="1" applyBorder="1" applyAlignment="1">
      <alignment horizontal="right"/>
    </xf>
    <xf numFmtId="165" fontId="48" fillId="0" borderId="16" xfId="7" applyNumberFormat="1" applyFont="1" applyBorder="1" applyAlignment="1" applyProtection="1"/>
    <xf numFmtId="0" fontId="50" fillId="0" borderId="20" xfId="0" applyFont="1" applyBorder="1"/>
    <xf numFmtId="0" fontId="51" fillId="0" borderId="0" xfId="8" applyFont="1"/>
    <xf numFmtId="37" fontId="48" fillId="0" borderId="16" xfId="7" applyNumberFormat="1" applyFont="1" applyBorder="1" applyAlignment="1" applyProtection="1"/>
    <xf numFmtId="0" fontId="49" fillId="8" borderId="2" xfId="0" applyFont="1" applyFill="1" applyBorder="1"/>
    <xf numFmtId="0" fontId="48" fillId="0" borderId="0" xfId="0" applyFont="1" applyBorder="1" applyAlignment="1">
      <alignment horizontal="left"/>
    </xf>
    <xf numFmtId="0" fontId="49" fillId="0" borderId="26" xfId="0" applyFont="1" applyBorder="1"/>
    <xf numFmtId="0" fontId="49" fillId="0" borderId="4" xfId="0" applyFont="1" applyBorder="1"/>
    <xf numFmtId="0" fontId="49" fillId="8" borderId="27" xfId="0" applyFont="1" applyFill="1" applyBorder="1"/>
    <xf numFmtId="0" fontId="49" fillId="8" borderId="5" xfId="0" applyFont="1" applyFill="1" applyBorder="1"/>
    <xf numFmtId="0" fontId="49" fillId="8" borderId="3" xfId="0" applyFont="1" applyFill="1" applyBorder="1"/>
    <xf numFmtId="0" fontId="48" fillId="0" borderId="22" xfId="0" applyFont="1" applyBorder="1" applyAlignment="1"/>
    <xf numFmtId="0" fontId="50" fillId="0" borderId="3" xfId="0" applyFont="1" applyBorder="1"/>
    <xf numFmtId="0" fontId="48" fillId="0" borderId="3" xfId="0" applyFont="1" applyBorder="1" applyAlignment="1"/>
    <xf numFmtId="165" fontId="48" fillId="0" borderId="3" xfId="7" applyNumberFormat="1" applyFont="1" applyBorder="1" applyAlignment="1" applyProtection="1"/>
    <xf numFmtId="176" fontId="48" fillId="0" borderId="3" xfId="0" applyNumberFormat="1" applyFont="1" applyBorder="1" applyAlignment="1"/>
    <xf numFmtId="164" fontId="48" fillId="0" borderId="3" xfId="7" applyNumberFormat="1" applyFont="1" applyBorder="1" applyAlignment="1" applyProtection="1"/>
    <xf numFmtId="11" fontId="48" fillId="0" borderId="3" xfId="0" applyNumberFormat="1" applyFont="1" applyBorder="1" applyAlignment="1"/>
    <xf numFmtId="2" fontId="48" fillId="0" borderId="16" xfId="7" applyNumberFormat="1" applyFont="1" applyBorder="1" applyAlignment="1" applyProtection="1"/>
    <xf numFmtId="179" fontId="48" fillId="0" borderId="16" xfId="7" applyNumberFormat="1" applyFont="1" applyBorder="1" applyAlignment="1" applyProtection="1"/>
    <xf numFmtId="0" fontId="50" fillId="0" borderId="16" xfId="0" applyFont="1" applyBorder="1" applyAlignment="1"/>
    <xf numFmtId="1" fontId="48" fillId="0" borderId="3" xfId="7" applyNumberFormat="1" applyFont="1" applyBorder="1" applyAlignment="1" applyProtection="1"/>
    <xf numFmtId="0" fontId="50" fillId="0" borderId="20" xfId="0" applyFont="1" applyBorder="1" applyAlignment="1"/>
    <xf numFmtId="0" fontId="49" fillId="0" borderId="21" xfId="0" applyFont="1" applyBorder="1"/>
    <xf numFmtId="0" fontId="49" fillId="0" borderId="0" xfId="0" applyFont="1" applyBorder="1"/>
    <xf numFmtId="0" fontId="49" fillId="8" borderId="3" xfId="0" applyFont="1" applyFill="1" applyBorder="1" applyAlignment="1">
      <alignment horizontal="right"/>
    </xf>
    <xf numFmtId="165" fontId="49" fillId="8" borderId="5" xfId="0" applyNumberFormat="1" applyFont="1" applyFill="1" applyBorder="1"/>
    <xf numFmtId="0" fontId="50" fillId="0" borderId="21" xfId="0" applyFont="1" applyBorder="1"/>
    <xf numFmtId="0" fontId="49" fillId="8" borderId="22" xfId="0" applyFont="1" applyFill="1" applyBorder="1"/>
    <xf numFmtId="0" fontId="49" fillId="8" borderId="5" xfId="0" applyFont="1" applyFill="1" applyBorder="1" applyAlignment="1">
      <alignment horizontal="right"/>
    </xf>
    <xf numFmtId="0" fontId="50" fillId="0" borderId="23" xfId="0" applyFont="1" applyBorder="1"/>
    <xf numFmtId="0" fontId="50" fillId="0" borderId="24" xfId="0" applyFont="1" applyBorder="1"/>
    <xf numFmtId="0" fontId="50" fillId="0" borderId="25" xfId="0" applyFont="1" applyBorder="1"/>
    <xf numFmtId="0" fontId="33" fillId="0" borderId="46" xfId="42" applyFont="1" applyFill="1" applyBorder="1" applyAlignment="1">
      <alignment horizontal="left" wrapText="1"/>
    </xf>
    <xf numFmtId="170" fontId="33" fillId="0" borderId="46" xfId="36" applyFont="1" applyFill="1" applyBorder="1"/>
    <xf numFmtId="0" fontId="44" fillId="0" borderId="46" xfId="39" applyFont="1" applyBorder="1" applyAlignment="1">
      <alignment wrapText="1"/>
    </xf>
    <xf numFmtId="0" fontId="25" fillId="0" borderId="46" xfId="8" applyBorder="1"/>
    <xf numFmtId="0" fontId="11" fillId="0" borderId="33" xfId="0" applyFont="1" applyBorder="1" applyAlignment="1"/>
    <xf numFmtId="11" fontId="11" fillId="0" borderId="33" xfId="0" applyNumberFormat="1" applyFont="1" applyBorder="1" applyAlignment="1"/>
    <xf numFmtId="173" fontId="11" fillId="0" borderId="33" xfId="7" applyNumberFormat="1" applyFont="1" applyBorder="1" applyAlignment="1" applyProtection="1"/>
    <xf numFmtId="168" fontId="11" fillId="0" borderId="33" xfId="7" applyNumberFormat="1" applyFont="1" applyBorder="1" applyAlignment="1" applyProtection="1"/>
    <xf numFmtId="165" fontId="10" fillId="7" borderId="5" xfId="0" applyNumberFormat="1" applyFont="1" applyFill="1" applyBorder="1"/>
    <xf numFmtId="0" fontId="11" fillId="0" borderId="46" xfId="0" applyFont="1" applyBorder="1"/>
    <xf numFmtId="0" fontId="33" fillId="0" borderId="46" xfId="31" applyFont="1" applyFill="1" applyBorder="1"/>
    <xf numFmtId="0" fontId="33" fillId="0" borderId="46" xfId="31" applyFont="1" applyFill="1" applyBorder="1" applyAlignment="1">
      <alignment wrapText="1"/>
    </xf>
    <xf numFmtId="165" fontId="11" fillId="0" borderId="46" xfId="7" applyNumberFormat="1" applyFont="1" applyBorder="1" applyAlignment="1" applyProtection="1"/>
    <xf numFmtId="164" fontId="11" fillId="0" borderId="46" xfId="7" applyNumberFormat="1" applyFont="1" applyBorder="1" applyAlignment="1" applyProtection="1"/>
    <xf numFmtId="2" fontId="11" fillId="0" borderId="46" xfId="7" applyNumberFormat="1" applyFont="1" applyBorder="1" applyAlignment="1" applyProtection="1"/>
    <xf numFmtId="169" fontId="11" fillId="0" borderId="46" xfId="7" applyNumberFormat="1" applyFont="1" applyBorder="1" applyAlignment="1" applyProtection="1"/>
    <xf numFmtId="0" fontId="0" fillId="0" borderId="46" xfId="0" applyBorder="1" applyAlignment="1"/>
    <xf numFmtId="185" fontId="11" fillId="0" borderId="16" xfId="7" applyNumberFormat="1" applyFont="1" applyBorder="1" applyAlignment="1" applyProtection="1"/>
    <xf numFmtId="0" fontId="44" fillId="0" borderId="17" xfId="33" applyFont="1" applyBorder="1"/>
    <xf numFmtId="0" fontId="44" fillId="0" borderId="18" xfId="33" applyFont="1" applyBorder="1"/>
    <xf numFmtId="0" fontId="44" fillId="0" borderId="19" xfId="33" applyFont="1" applyBorder="1"/>
    <xf numFmtId="0" fontId="45" fillId="8" borderId="16" xfId="33" applyFont="1" applyFill="1" applyBorder="1"/>
    <xf numFmtId="0" fontId="44" fillId="0" borderId="0" xfId="33" applyFont="1" applyBorder="1"/>
    <xf numFmtId="0" fontId="52" fillId="0" borderId="0" xfId="8" applyFont="1" applyBorder="1"/>
    <xf numFmtId="0" fontId="45" fillId="8" borderId="16" xfId="33" applyFont="1" applyFill="1" applyBorder="1" applyAlignment="1">
      <alignment horizontal="left"/>
    </xf>
    <xf numFmtId="0" fontId="44" fillId="0" borderId="16" xfId="33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4" fillId="0" borderId="20" xfId="33" applyFont="1" applyBorder="1"/>
    <xf numFmtId="0" fontId="52" fillId="0" borderId="0" xfId="8" applyFont="1"/>
    <xf numFmtId="37" fontId="44" fillId="0" borderId="16" xfId="7" applyNumberFormat="1" applyFont="1" applyBorder="1" applyAlignment="1" applyProtection="1"/>
    <xf numFmtId="0" fontId="45" fillId="8" borderId="2" xfId="33" applyFont="1" applyFill="1" applyBorder="1"/>
    <xf numFmtId="0" fontId="44" fillId="0" borderId="0" xfId="33" applyFont="1" applyBorder="1" applyAlignment="1">
      <alignment horizontal="left"/>
    </xf>
    <xf numFmtId="49" fontId="44" fillId="0" borderId="0" xfId="33" applyNumberFormat="1" applyFont="1" applyBorder="1" applyAlignment="1">
      <alignment horizontal="left"/>
    </xf>
    <xf numFmtId="0" fontId="45" fillId="0" borderId="26" xfId="33" applyFont="1" applyBorder="1"/>
    <xf numFmtId="0" fontId="45" fillId="0" borderId="4" xfId="33" applyFont="1" applyBorder="1"/>
    <xf numFmtId="0" fontId="45" fillId="8" borderId="27" xfId="33" applyFont="1" applyFill="1" applyBorder="1"/>
    <xf numFmtId="0" fontId="45" fillId="8" borderId="5" xfId="33" applyFont="1" applyFill="1" applyBorder="1"/>
    <xf numFmtId="0" fontId="45" fillId="8" borderId="3" xfId="33" applyFont="1" applyFill="1" applyBorder="1"/>
    <xf numFmtId="0" fontId="44" fillId="0" borderId="22" xfId="0" applyFont="1" applyBorder="1" applyAlignment="1"/>
    <xf numFmtId="0" fontId="44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2" fontId="44" fillId="0" borderId="16" xfId="7" applyNumberFormat="1" applyFont="1" applyBorder="1" applyAlignment="1" applyProtection="1"/>
    <xf numFmtId="179" fontId="44" fillId="0" borderId="16" xfId="7" applyNumberFormat="1" applyFont="1" applyBorder="1" applyAlignment="1" applyProtection="1"/>
    <xf numFmtId="0" fontId="44" fillId="0" borderId="16" xfId="0" applyFont="1" applyBorder="1" applyAlignment="1"/>
    <xf numFmtId="1" fontId="44" fillId="0" borderId="3" xfId="7" applyNumberFormat="1" applyFont="1" applyBorder="1" applyAlignment="1" applyProtection="1"/>
    <xf numFmtId="0" fontId="44" fillId="0" borderId="20" xfId="33" applyFont="1" applyBorder="1" applyAlignment="1"/>
    <xf numFmtId="0" fontId="45" fillId="0" borderId="21" xfId="33" applyFont="1" applyBorder="1"/>
    <xf numFmtId="0" fontId="45" fillId="0" borderId="0" xfId="33" applyFont="1" applyBorder="1"/>
    <xf numFmtId="0" fontId="45" fillId="8" borderId="3" xfId="33" applyFont="1" applyFill="1" applyBorder="1" applyAlignment="1">
      <alignment horizontal="right"/>
    </xf>
    <xf numFmtId="165" fontId="45" fillId="8" borderId="5" xfId="33" applyNumberFormat="1" applyFont="1" applyFill="1" applyBorder="1"/>
    <xf numFmtId="0" fontId="44" fillId="0" borderId="21" xfId="33" applyFont="1" applyBorder="1"/>
    <xf numFmtId="0" fontId="45" fillId="8" borderId="22" xfId="33" applyFont="1" applyFill="1" applyBorder="1"/>
    <xf numFmtId="0" fontId="44" fillId="0" borderId="22" xfId="33" applyFont="1" applyBorder="1" applyAlignment="1">
      <alignment wrapText="1"/>
    </xf>
    <xf numFmtId="0" fontId="44" fillId="0" borderId="3" xfId="7" applyNumberFormat="1" applyFont="1" applyBorder="1" applyAlignment="1">
      <alignment wrapText="1"/>
    </xf>
    <xf numFmtId="0" fontId="44" fillId="0" borderId="3" xfId="33" applyFont="1" applyBorder="1" applyAlignment="1">
      <alignment wrapText="1"/>
    </xf>
    <xf numFmtId="165" fontId="44" fillId="0" borderId="3" xfId="7" applyNumberFormat="1" applyFont="1" applyBorder="1" applyAlignment="1" applyProtection="1">
      <alignment wrapText="1"/>
    </xf>
    <xf numFmtId="0" fontId="44" fillId="0" borderId="0" xfId="33" applyFont="1" applyBorder="1" applyAlignment="1">
      <alignment wrapText="1"/>
    </xf>
    <xf numFmtId="0" fontId="44" fillId="0" borderId="20" xfId="33" applyFont="1" applyBorder="1" applyAlignment="1">
      <alignment wrapText="1"/>
    </xf>
    <xf numFmtId="0" fontId="44" fillId="0" borderId="22" xfId="33" applyFont="1" applyBorder="1"/>
    <xf numFmtId="0" fontId="44" fillId="0" borderId="6" xfId="30" applyFont="1" applyFill="1" applyBorder="1" applyAlignment="1">
      <alignment wrapText="1"/>
    </xf>
    <xf numFmtId="0" fontId="44" fillId="0" borderId="3" xfId="33" applyFont="1" applyBorder="1"/>
    <xf numFmtId="0" fontId="44" fillId="0" borderId="3" xfId="33" applyNumberFormat="1" applyFont="1" applyBorder="1"/>
    <xf numFmtId="0" fontId="45" fillId="8" borderId="5" xfId="33" applyFont="1" applyFill="1" applyBorder="1" applyAlignment="1">
      <alignment horizontal="right"/>
    </xf>
    <xf numFmtId="0" fontId="44" fillId="0" borderId="23" xfId="33" applyFont="1" applyBorder="1"/>
    <xf numFmtId="0" fontId="44" fillId="0" borderId="24" xfId="33" applyFont="1" applyBorder="1"/>
    <xf numFmtId="0" fontId="44" fillId="0" borderId="25" xfId="33" applyFont="1" applyBorder="1"/>
    <xf numFmtId="0" fontId="48" fillId="0" borderId="46" xfId="42" applyFont="1" applyFill="1" applyBorder="1" applyAlignment="1">
      <alignment horizontal="left" wrapText="1"/>
    </xf>
    <xf numFmtId="0" fontId="10" fillId="8" borderId="46" xfId="0" applyFont="1" applyFill="1" applyBorder="1"/>
    <xf numFmtId="0" fontId="48" fillId="0" borderId="47" xfId="42" applyFont="1" applyFill="1" applyBorder="1" applyAlignment="1">
      <alignment wrapText="1"/>
    </xf>
    <xf numFmtId="0" fontId="44" fillId="0" borderId="46" xfId="30" applyFont="1" applyFill="1" applyBorder="1" applyAlignment="1"/>
    <xf numFmtId="0" fontId="48" fillId="0" borderId="46" xfId="42" applyFont="1" applyFill="1" applyBorder="1" applyAlignment="1" applyProtection="1"/>
    <xf numFmtId="0" fontId="44" fillId="13" borderId="46" xfId="42" applyFont="1" applyFill="1" applyBorder="1" applyAlignment="1">
      <alignment wrapText="1"/>
    </xf>
    <xf numFmtId="0" fontId="33" fillId="0" borderId="0" xfId="0" applyFont="1" applyFill="1" applyBorder="1"/>
    <xf numFmtId="0" fontId="10" fillId="7" borderId="33" xfId="0" applyFont="1" applyFill="1" applyBorder="1"/>
    <xf numFmtId="37" fontId="11" fillId="0" borderId="46" xfId="0" applyNumberFormat="1" applyFont="1" applyBorder="1"/>
    <xf numFmtId="11" fontId="11" fillId="0" borderId="46" xfId="0" applyNumberFormat="1" applyFont="1" applyBorder="1"/>
    <xf numFmtId="167" fontId="11" fillId="0" borderId="46" xfId="7" applyNumberFormat="1" applyFont="1" applyBorder="1" applyAlignment="1" applyProtection="1"/>
    <xf numFmtId="0" fontId="11" fillId="0" borderId="46" xfId="0" applyFont="1" applyBorder="1" applyAlignment="1">
      <alignment wrapText="1"/>
    </xf>
    <xf numFmtId="0" fontId="11" fillId="0" borderId="46" xfId="0" applyFont="1" applyBorder="1" applyAlignment="1"/>
    <xf numFmtId="11" fontId="11" fillId="0" borderId="46" xfId="0" applyNumberFormat="1" applyFont="1" applyBorder="1" applyAlignment="1"/>
    <xf numFmtId="173" fontId="11" fillId="0" borderId="46" xfId="7" applyNumberFormat="1" applyFont="1" applyBorder="1" applyAlignment="1" applyProtection="1"/>
    <xf numFmtId="168" fontId="11" fillId="0" borderId="46" xfId="7" applyNumberFormat="1" applyFont="1" applyBorder="1" applyAlignment="1" applyProtection="1"/>
    <xf numFmtId="0" fontId="0" fillId="0" borderId="46" xfId="0" applyBorder="1"/>
    <xf numFmtId="0" fontId="33" fillId="0" borderId="46" xfId="0" applyFont="1" applyFill="1" applyBorder="1" applyAlignment="1" applyProtection="1">
      <alignment vertical="center" wrapText="1"/>
    </xf>
    <xf numFmtId="0" fontId="10" fillId="7" borderId="34" xfId="0" applyFont="1" applyFill="1" applyBorder="1"/>
    <xf numFmtId="0" fontId="33" fillId="0" borderId="16" xfId="0" applyFont="1" applyFill="1" applyBorder="1"/>
    <xf numFmtId="0" fontId="33" fillId="0" borderId="45" xfId="30" applyFont="1" applyFill="1" applyBorder="1" applyAlignment="1">
      <alignment wrapText="1"/>
    </xf>
    <xf numFmtId="165" fontId="33" fillId="0" borderId="16" xfId="7" applyNumberFormat="1" applyFont="1" applyBorder="1" applyAlignment="1" applyProtection="1"/>
    <xf numFmtId="0" fontId="33" fillId="0" borderId="3" xfId="46" applyFont="1" applyFill="1" applyBorder="1"/>
    <xf numFmtId="0" fontId="33" fillId="0" borderId="3" xfId="46" applyNumberFormat="1" applyFont="1" applyFill="1" applyBorder="1"/>
    <xf numFmtId="0" fontId="33" fillId="0" borderId="16" xfId="0" applyFont="1" applyBorder="1"/>
    <xf numFmtId="0" fontId="33" fillId="0" borderId="33" xfId="0" applyFont="1" applyBorder="1"/>
    <xf numFmtId="0" fontId="33" fillId="0" borderId="53" xfId="30" applyFont="1" applyFill="1" applyBorder="1" applyAlignment="1">
      <alignment wrapText="1"/>
    </xf>
    <xf numFmtId="165" fontId="33" fillId="0" borderId="33" xfId="7" applyNumberFormat="1" applyFont="1" applyBorder="1" applyAlignment="1" applyProtection="1"/>
    <xf numFmtId="0" fontId="33" fillId="0" borderId="33" xfId="7" applyNumberFormat="1" applyFont="1" applyBorder="1" applyAlignment="1">
      <alignment wrapText="1"/>
    </xf>
    <xf numFmtId="0" fontId="33" fillId="0" borderId="3" xfId="0" applyFont="1" applyBorder="1"/>
    <xf numFmtId="0" fontId="33" fillId="0" borderId="3" xfId="0" applyNumberFormat="1" applyFont="1" applyFill="1" applyBorder="1"/>
    <xf numFmtId="165" fontId="33" fillId="0" borderId="3" xfId="7" applyNumberFormat="1" applyFont="1" applyBorder="1" applyAlignment="1" applyProtection="1"/>
    <xf numFmtId="0" fontId="33" fillId="0" borderId="3" xfId="7" applyNumberFormat="1" applyFont="1" applyBorder="1" applyAlignment="1">
      <alignment wrapText="1"/>
    </xf>
    <xf numFmtId="186" fontId="11" fillId="0" borderId="16" xfId="0" applyNumberFormat="1" applyFont="1" applyBorder="1"/>
    <xf numFmtId="0" fontId="11" fillId="0" borderId="16" xfId="7" applyNumberFormat="1" applyFont="1" applyBorder="1" applyAlignment="1" applyProtection="1">
      <alignment vertical="center" wrapText="1"/>
    </xf>
    <xf numFmtId="39" fontId="11" fillId="0" borderId="16" xfId="7" applyNumberFormat="1" applyFont="1" applyBorder="1" applyAlignment="1" applyProtection="1"/>
    <xf numFmtId="0" fontId="33" fillId="0" borderId="3" xfId="47" applyFont="1" applyFill="1" applyBorder="1"/>
    <xf numFmtId="0" fontId="33" fillId="0" borderId="0" xfId="0" applyNumberFormat="1" applyFont="1" applyFill="1" applyBorder="1"/>
    <xf numFmtId="0" fontId="22" fillId="0" borderId="0" xfId="30" applyFont="1" applyFill="1" applyBorder="1" applyAlignment="1">
      <alignment wrapText="1"/>
    </xf>
    <xf numFmtId="0" fontId="11" fillId="0" borderId="3" xfId="0" applyFont="1" applyBorder="1" applyAlignment="1" applyProtection="1"/>
    <xf numFmtId="187" fontId="11" fillId="0" borderId="3" xfId="0" applyNumberFormat="1" applyFont="1" applyBorder="1" applyAlignment="1"/>
    <xf numFmtId="188" fontId="11" fillId="0" borderId="3" xfId="7" applyNumberFormat="1" applyFont="1" applyBorder="1" applyAlignment="1" applyProtection="1"/>
    <xf numFmtId="168" fontId="11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0" fillId="0" borderId="0" xfId="0" applyNumberFormat="1" applyFont="1" applyBorder="1"/>
    <xf numFmtId="0" fontId="11" fillId="0" borderId="3" xfId="0" applyFont="1" applyBorder="1"/>
    <xf numFmtId="0" fontId="0" fillId="0" borderId="5" xfId="0" applyBorder="1"/>
    <xf numFmtId="165" fontId="11" fillId="0" borderId="5" xfId="7" applyNumberFormat="1" applyFont="1" applyBorder="1" applyAlignment="1" applyProtection="1"/>
    <xf numFmtId="37" fontId="18" fillId="9" borderId="3" xfId="1" applyNumberFormat="1" applyFont="1" applyFill="1" applyBorder="1" applyAlignment="1" applyProtection="1">
      <alignment horizontal="center"/>
      <protection locked="0"/>
    </xf>
    <xf numFmtId="37" fontId="18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2" fillId="0" borderId="45" xfId="30" applyFont="1" applyFill="1" applyBorder="1" applyAlignment="1"/>
    <xf numFmtId="0" fontId="41" fillId="0" borderId="22" xfId="0" applyFont="1" applyBorder="1" applyAlignment="1">
      <alignment wrapText="1"/>
    </xf>
    <xf numFmtId="0" fontId="41" fillId="0" borderId="3" xfId="0" applyFont="1" applyBorder="1" applyAlignment="1"/>
    <xf numFmtId="165" fontId="41" fillId="0" borderId="3" xfId="7" applyNumberFormat="1" applyFont="1" applyBorder="1" applyAlignment="1" applyProtection="1">
      <alignment wrapText="1"/>
    </xf>
    <xf numFmtId="0" fontId="41" fillId="0" borderId="3" xfId="7" applyNumberFormat="1" applyFont="1" applyBorder="1" applyAlignment="1">
      <alignment wrapText="1"/>
    </xf>
    <xf numFmtId="0" fontId="41" fillId="0" borderId="3" xfId="0" applyFont="1" applyBorder="1" applyAlignment="1">
      <alignment wrapText="1"/>
    </xf>
    <xf numFmtId="0" fontId="41" fillId="0" borderId="22" xfId="0" applyFont="1" applyBorder="1"/>
    <xf numFmtId="0" fontId="41" fillId="0" borderId="3" xfId="0" applyFont="1" applyBorder="1"/>
    <xf numFmtId="165" fontId="41" fillId="0" borderId="3" xfId="7" applyNumberFormat="1" applyFont="1" applyBorder="1" applyAlignment="1" applyProtection="1"/>
    <xf numFmtId="175" fontId="41" fillId="0" borderId="3" xfId="0" applyNumberFormat="1" applyFont="1" applyBorder="1"/>
    <xf numFmtId="0" fontId="18" fillId="9" borderId="46" xfId="1" applyFont="1" applyFill="1" applyBorder="1" applyProtection="1">
      <protection locked="0"/>
    </xf>
    <xf numFmtId="0" fontId="18" fillId="9" borderId="46" xfId="1" applyFont="1" applyFill="1" applyBorder="1" applyAlignment="1">
      <alignment horizontal="left"/>
    </xf>
    <xf numFmtId="18" fontId="18" fillId="9" borderId="46" xfId="1" applyNumberFormat="1" applyFont="1" applyFill="1" applyBorder="1" applyAlignment="1" applyProtection="1">
      <protection locked="0"/>
    </xf>
    <xf numFmtId="0" fontId="25" fillId="9" borderId="46" xfId="8" applyFill="1" applyBorder="1" applyAlignment="1">
      <alignment horizontal="left"/>
    </xf>
    <xf numFmtId="172" fontId="18" fillId="9" borderId="46" xfId="5" applyNumberFormat="1" applyFont="1" applyFill="1" applyBorder="1" applyProtection="1">
      <protection locked="0"/>
    </xf>
    <xf numFmtId="37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>
      <alignment horizontal="right"/>
    </xf>
    <xf numFmtId="0" fontId="18" fillId="9" borderId="46" xfId="1" applyFont="1" applyFill="1" applyBorder="1" applyAlignment="1">
      <alignment horizontal="center"/>
    </xf>
    <xf numFmtId="0" fontId="18" fillId="10" borderId="46" xfId="1" applyFont="1" applyFill="1" applyBorder="1" applyAlignment="1">
      <alignment horizontal="left"/>
    </xf>
    <xf numFmtId="172" fontId="18" fillId="10" borderId="46" xfId="5" applyNumberFormat="1" applyFont="1" applyFill="1" applyBorder="1" applyProtection="1">
      <protection locked="0"/>
    </xf>
    <xf numFmtId="37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>
      <alignment horizontal="right"/>
    </xf>
    <xf numFmtId="0" fontId="18" fillId="10" borderId="46" xfId="1" applyFont="1" applyFill="1" applyBorder="1" applyAlignment="1" applyProtection="1">
      <alignment horizontal="center"/>
      <protection locked="0"/>
    </xf>
    <xf numFmtId="0" fontId="10" fillId="7" borderId="51" xfId="0" applyFont="1" applyFill="1" applyBorder="1"/>
    <xf numFmtId="0" fontId="25" fillId="0" borderId="0" xfId="8" applyNumberFormat="1" applyBorder="1" applyAlignment="1" applyProtection="1"/>
    <xf numFmtId="0" fontId="0" fillId="0" borderId="44" xfId="0" applyBorder="1"/>
    <xf numFmtId="0" fontId="10" fillId="7" borderId="54" xfId="0" applyFont="1" applyFill="1" applyBorder="1"/>
    <xf numFmtId="0" fontId="11" fillId="0" borderId="55" xfId="0" applyFont="1" applyBorder="1"/>
    <xf numFmtId="0" fontId="25" fillId="0" borderId="3" xfId="8" applyNumberFormat="1" applyBorder="1" applyAlignment="1" applyProtection="1"/>
    <xf numFmtId="37" fontId="11" fillId="0" borderId="3" xfId="0" applyNumberFormat="1" applyFont="1" applyBorder="1"/>
    <xf numFmtId="0" fontId="25" fillId="0" borderId="3" xfId="8" applyBorder="1"/>
    <xf numFmtId="0" fontId="25" fillId="0" borderId="3" xfId="8" applyNumberFormat="1" applyFill="1" applyBorder="1" applyAlignment="1" applyProtection="1"/>
    <xf numFmtId="0" fontId="11" fillId="0" borderId="43" xfId="7" applyNumberFormat="1" applyFont="1" applyBorder="1" applyAlignment="1"/>
    <xf numFmtId="0" fontId="11" fillId="0" borderId="55" xfId="0" applyFont="1" applyFill="1" applyBorder="1"/>
    <xf numFmtId="0" fontId="11" fillId="0" borderId="51" xfId="0" applyFont="1" applyBorder="1"/>
    <xf numFmtId="0" fontId="11" fillId="0" borderId="16" xfId="0" applyFont="1" applyBorder="1" applyAlignment="1">
      <alignment wrapText="1"/>
    </xf>
    <xf numFmtId="0" fontId="11" fillId="0" borderId="16" xfId="0" applyFont="1" applyBorder="1" applyAlignment="1"/>
    <xf numFmtId="11" fontId="11" fillId="0" borderId="16" xfId="0" applyNumberFormat="1" applyFont="1" applyBorder="1" applyAlignment="1"/>
    <xf numFmtId="0" fontId="0" fillId="0" borderId="43" xfId="0" applyBorder="1" applyAlignment="1"/>
    <xf numFmtId="0" fontId="10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1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2" fillId="0" borderId="3" xfId="30" applyFont="1" applyFill="1" applyBorder="1" applyAlignment="1">
      <alignment wrapText="1"/>
    </xf>
    <xf numFmtId="0" fontId="11" fillId="0" borderId="56" xfId="0" applyFont="1" applyBorder="1"/>
    <xf numFmtId="0" fontId="33" fillId="0" borderId="3" xfId="49" applyNumberFormat="1" applyFont="1" applyFill="1" applyBorder="1"/>
    <xf numFmtId="0" fontId="43" fillId="17" borderId="3" xfId="49" applyFont="1" applyFill="1" applyBorder="1"/>
    <xf numFmtId="0" fontId="38" fillId="0" borderId="0" xfId="49" applyFont="1" applyBorder="1"/>
    <xf numFmtId="0" fontId="43" fillId="17" borderId="3" xfId="49" applyFont="1" applyFill="1" applyBorder="1" applyAlignment="1">
      <alignment horizontal="left"/>
    </xf>
    <xf numFmtId="0" fontId="38" fillId="0" borderId="0" xfId="49" applyFont="1" applyBorder="1" applyAlignment="1">
      <alignment horizontal="right"/>
    </xf>
    <xf numFmtId="165" fontId="38" fillId="0" borderId="0" xfId="49" applyNumberFormat="1" applyFont="1" applyBorder="1"/>
    <xf numFmtId="37" fontId="38" fillId="0" borderId="0" xfId="49" applyNumberFormat="1" applyFont="1" applyBorder="1"/>
    <xf numFmtId="0" fontId="11" fillId="0" borderId="0" xfId="7" applyNumberFormat="1" applyFont="1" applyBorder="1" applyAlignment="1" applyProtection="1"/>
    <xf numFmtId="0" fontId="38" fillId="0" borderId="44" xfId="49" applyFont="1" applyBorder="1"/>
    <xf numFmtId="0" fontId="43" fillId="17" borderId="57" xfId="49" applyFont="1" applyFill="1" applyBorder="1"/>
    <xf numFmtId="0" fontId="43" fillId="17" borderId="58" xfId="49" applyFont="1" applyFill="1" applyBorder="1"/>
    <xf numFmtId="0" fontId="38" fillId="0" borderId="59" xfId="49" applyFont="1" applyBorder="1"/>
    <xf numFmtId="0" fontId="33" fillId="0" borderId="0" xfId="0" applyFont="1" applyFill="1" applyBorder="1" applyAlignment="1" applyProtection="1">
      <alignment vertical="center" wrapText="1"/>
    </xf>
    <xf numFmtId="0" fontId="38" fillId="0" borderId="60" xfId="49" applyFont="1" applyBorder="1"/>
    <xf numFmtId="165" fontId="38" fillId="0" borderId="60" xfId="49" applyNumberFormat="1" applyFont="1" applyBorder="1"/>
    <xf numFmtId="190" fontId="38" fillId="0" borderId="60" xfId="49" applyNumberFormat="1" applyFont="1" applyBorder="1"/>
    <xf numFmtId="164" fontId="38" fillId="0" borderId="60" xfId="49" applyNumberFormat="1" applyFont="1" applyBorder="1"/>
    <xf numFmtId="11" fontId="38" fillId="0" borderId="60" xfId="49" applyNumberFormat="1" applyFont="1" applyBorder="1"/>
    <xf numFmtId="191" fontId="38" fillId="0" borderId="60" xfId="49" applyNumberFormat="1" applyFont="1" applyBorder="1"/>
    <xf numFmtId="0" fontId="38" fillId="0" borderId="60" xfId="49" applyNumberFormat="1" applyFont="1" applyBorder="1"/>
    <xf numFmtId="0" fontId="43" fillId="0" borderId="44" xfId="49" applyFont="1" applyBorder="1"/>
    <xf numFmtId="0" fontId="43" fillId="0" borderId="0" xfId="49" applyFont="1" applyBorder="1"/>
    <xf numFmtId="0" fontId="43" fillId="17" borderId="61" xfId="49" applyFont="1" applyFill="1" applyBorder="1" applyAlignment="1">
      <alignment horizontal="right"/>
    </xf>
    <xf numFmtId="192" fontId="43" fillId="17" borderId="60" xfId="49" applyNumberFormat="1" applyFont="1" applyFill="1" applyBorder="1"/>
    <xf numFmtId="165" fontId="43" fillId="17" borderId="60" xfId="49" applyNumberFormat="1" applyFont="1" applyFill="1" applyBorder="1"/>
    <xf numFmtId="0" fontId="38" fillId="0" borderId="48" xfId="49" applyFont="1" applyBorder="1"/>
    <xf numFmtId="0" fontId="38" fillId="0" borderId="49" xfId="49" applyFont="1" applyBorder="1"/>
    <xf numFmtId="0" fontId="38" fillId="0" borderId="0" xfId="49" applyFont="1"/>
    <xf numFmtId="0" fontId="2" fillId="0" borderId="0" xfId="49"/>
    <xf numFmtId="0" fontId="43" fillId="17" borderId="62" xfId="49" applyFont="1" applyFill="1" applyBorder="1"/>
    <xf numFmtId="0" fontId="43" fillId="17" borderId="2" xfId="49" applyFont="1" applyFill="1" applyBorder="1" applyAlignment="1">
      <alignment horizontal="left"/>
    </xf>
    <xf numFmtId="0" fontId="43" fillId="17" borderId="2" xfId="49" applyFont="1" applyFill="1" applyBorder="1"/>
    <xf numFmtId="0" fontId="43" fillId="17" borderId="63" xfId="49" applyFont="1" applyFill="1" applyBorder="1"/>
    <xf numFmtId="0" fontId="43" fillId="17" borderId="64" xfId="49" applyFont="1" applyFill="1" applyBorder="1"/>
    <xf numFmtId="0" fontId="43" fillId="17" borderId="65" xfId="49" applyFont="1" applyFill="1" applyBorder="1"/>
    <xf numFmtId="0" fontId="43" fillId="17" borderId="66" xfId="49" applyFont="1" applyFill="1" applyBorder="1"/>
    <xf numFmtId="0" fontId="38" fillId="0" borderId="47" xfId="49" applyFont="1" applyBorder="1"/>
    <xf numFmtId="0" fontId="33" fillId="0" borderId="3" xfId="0" applyFont="1" applyFill="1" applyBorder="1" applyAlignment="1" applyProtection="1">
      <alignment vertical="center" wrapText="1"/>
    </xf>
    <xf numFmtId="0" fontId="11" fillId="0" borderId="67" xfId="0" applyFont="1" applyBorder="1" applyAlignment="1"/>
    <xf numFmtId="193" fontId="11" fillId="0" borderId="3" xfId="0" applyNumberFormat="1" applyFont="1" applyBorder="1" applyAlignment="1"/>
    <xf numFmtId="194" fontId="11" fillId="0" borderId="3" xfId="7" applyNumberFormat="1" applyFont="1" applyBorder="1" applyAlignment="1" applyProtection="1"/>
    <xf numFmtId="0" fontId="10" fillId="8" borderId="67" xfId="0" applyFont="1" applyFill="1" applyBorder="1"/>
    <xf numFmtId="0" fontId="38" fillId="0" borderId="61" xfId="49" applyFont="1" applyBorder="1"/>
    <xf numFmtId="0" fontId="38" fillId="0" borderId="60" xfId="49" applyFont="1" applyBorder="1" applyAlignment="1">
      <alignment wrapText="1"/>
    </xf>
    <xf numFmtId="0" fontId="38" fillId="0" borderId="3" xfId="49" applyFont="1" applyBorder="1"/>
    <xf numFmtId="0" fontId="38" fillId="0" borderId="49" xfId="49" applyFont="1" applyBorder="1" applyAlignment="1">
      <alignment horizontal="right"/>
    </xf>
    <xf numFmtId="165" fontId="38" fillId="0" borderId="49" xfId="49" applyNumberFormat="1" applyFont="1" applyBorder="1"/>
    <xf numFmtId="0" fontId="11" fillId="0" borderId="47" xfId="0" applyFont="1" applyBorder="1"/>
    <xf numFmtId="18" fontId="18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1" fillId="0" borderId="3" xfId="0" applyNumberFormat="1" applyFont="1" applyBorder="1" applyAlignment="1"/>
    <xf numFmtId="0" fontId="0" fillId="0" borderId="5" xfId="0" applyBorder="1" applyAlignment="1"/>
    <xf numFmtId="0" fontId="18" fillId="10" borderId="3" xfId="1" applyFont="1" applyFill="1" applyBorder="1" applyAlignment="1">
      <alignment horizontal="left"/>
    </xf>
    <xf numFmtId="0" fontId="11" fillId="0" borderId="3" xfId="0" applyFont="1" applyFill="1" applyBorder="1"/>
    <xf numFmtId="0" fontId="33" fillId="0" borderId="3" xfId="52" applyNumberFormat="1" applyFont="1" applyFill="1" applyBorder="1"/>
    <xf numFmtId="0" fontId="33" fillId="0" borderId="3" xfId="53" applyNumberFormat="1" applyFont="1" applyFill="1" applyBorder="1"/>
    <xf numFmtId="0" fontId="43" fillId="18" borderId="3" xfId="53" applyFont="1" applyFill="1" applyBorder="1"/>
    <xf numFmtId="0" fontId="38" fillId="0" borderId="0" xfId="53" applyFont="1" applyBorder="1"/>
    <xf numFmtId="0" fontId="47" fillId="0" borderId="0" xfId="54" applyBorder="1"/>
    <xf numFmtId="0" fontId="43" fillId="18" borderId="3" xfId="53" applyFont="1" applyFill="1" applyBorder="1" applyAlignment="1">
      <alignment horizontal="left"/>
    </xf>
    <xf numFmtId="0" fontId="38" fillId="0" borderId="0" xfId="53" applyFont="1" applyBorder="1" applyAlignment="1">
      <alignment horizontal="right"/>
    </xf>
    <xf numFmtId="165" fontId="38" fillId="0" borderId="0" xfId="53" applyNumberFormat="1" applyFont="1" applyBorder="1"/>
    <xf numFmtId="37" fontId="38" fillId="0" borderId="0" xfId="53" applyNumberFormat="1" applyFont="1" applyBorder="1"/>
    <xf numFmtId="0" fontId="38" fillId="0" borderId="44" xfId="53" applyFont="1" applyBorder="1"/>
    <xf numFmtId="0" fontId="43" fillId="18" borderId="57" xfId="53" applyFont="1" applyFill="1" applyBorder="1"/>
    <xf numFmtId="0" fontId="43" fillId="18" borderId="58" xfId="53" applyFont="1" applyFill="1" applyBorder="1"/>
    <xf numFmtId="0" fontId="38" fillId="0" borderId="68" xfId="53" applyFont="1" applyBorder="1"/>
    <xf numFmtId="0" fontId="33" fillId="0" borderId="69" xfId="0" applyFont="1" applyFill="1" applyBorder="1" applyAlignment="1" applyProtection="1">
      <alignment vertical="center" wrapText="1"/>
    </xf>
    <xf numFmtId="0" fontId="38" fillId="0" borderId="70" xfId="53" applyFont="1" applyBorder="1"/>
    <xf numFmtId="165" fontId="38" fillId="0" borderId="60" xfId="53" applyNumberFormat="1" applyFont="1" applyBorder="1"/>
    <xf numFmtId="190" fontId="38" fillId="0" borderId="60" xfId="53" applyNumberFormat="1" applyFont="1" applyBorder="1"/>
    <xf numFmtId="0" fontId="38" fillId="0" borderId="60" xfId="53" applyFont="1" applyBorder="1"/>
    <xf numFmtId="164" fontId="38" fillId="0" borderId="60" xfId="53" applyNumberFormat="1" applyFont="1" applyBorder="1"/>
    <xf numFmtId="11" fontId="38" fillId="0" borderId="60" xfId="53" applyNumberFormat="1" applyFont="1" applyBorder="1"/>
    <xf numFmtId="191" fontId="38" fillId="0" borderId="60" xfId="53" applyNumberFormat="1" applyFont="1" applyBorder="1"/>
    <xf numFmtId="0" fontId="38" fillId="0" borderId="60" xfId="53" applyNumberFormat="1" applyFont="1" applyBorder="1"/>
    <xf numFmtId="0" fontId="43" fillId="0" borderId="44" xfId="53" applyFont="1" applyBorder="1"/>
    <xf numFmtId="0" fontId="43" fillId="0" borderId="0" xfId="53" applyFont="1" applyBorder="1"/>
    <xf numFmtId="0" fontId="43" fillId="18" borderId="61" xfId="53" applyFont="1" applyFill="1" applyBorder="1" applyAlignment="1">
      <alignment horizontal="right"/>
    </xf>
    <xf numFmtId="192" fontId="43" fillId="18" borderId="60" xfId="53" applyNumberFormat="1" applyFont="1" applyFill="1" applyBorder="1"/>
    <xf numFmtId="0" fontId="38" fillId="0" borderId="59" xfId="53" applyFont="1" applyBorder="1"/>
    <xf numFmtId="165" fontId="43" fillId="18" borderId="60" xfId="53" applyNumberFormat="1" applyFont="1" applyFill="1" applyBorder="1"/>
    <xf numFmtId="0" fontId="38" fillId="0" borderId="48" xfId="53" applyFont="1" applyBorder="1"/>
    <xf numFmtId="0" fontId="38" fillId="0" borderId="49" xfId="53" applyFont="1" applyBorder="1"/>
    <xf numFmtId="0" fontId="38" fillId="0" borderId="0" xfId="53" applyFont="1"/>
    <xf numFmtId="0" fontId="1" fillId="0" borderId="0" xfId="53"/>
    <xf numFmtId="0" fontId="38" fillId="0" borderId="61" xfId="53" applyFont="1" applyBorder="1"/>
    <xf numFmtId="0" fontId="43" fillId="17" borderId="62" xfId="53" applyFont="1" applyFill="1" applyBorder="1"/>
    <xf numFmtId="0" fontId="43" fillId="17" borderId="2" xfId="53" applyFont="1" applyFill="1" applyBorder="1" applyAlignment="1">
      <alignment horizontal="left"/>
    </xf>
    <xf numFmtId="0" fontId="43" fillId="17" borderId="2" xfId="53" applyFont="1" applyFill="1" applyBorder="1"/>
    <xf numFmtId="0" fontId="43" fillId="17" borderId="63" xfId="53" applyFont="1" applyFill="1" applyBorder="1"/>
    <xf numFmtId="0" fontId="43" fillId="17" borderId="64" xfId="53" applyFont="1" applyFill="1" applyBorder="1"/>
    <xf numFmtId="0" fontId="43" fillId="17" borderId="65" xfId="53" applyFont="1" applyFill="1" applyBorder="1"/>
    <xf numFmtId="0" fontId="43" fillId="17" borderId="66" xfId="53" applyFont="1" applyFill="1" applyBorder="1"/>
    <xf numFmtId="0" fontId="43" fillId="17" borderId="58" xfId="53" applyFont="1" applyFill="1" applyBorder="1"/>
    <xf numFmtId="0" fontId="38" fillId="0" borderId="47" xfId="53" applyFont="1" applyBorder="1"/>
    <xf numFmtId="0" fontId="38" fillId="0" borderId="3" xfId="53" applyFont="1" applyBorder="1"/>
    <xf numFmtId="0" fontId="43" fillId="17" borderId="61" xfId="53" applyFont="1" applyFill="1" applyBorder="1" applyAlignment="1">
      <alignment horizontal="right"/>
    </xf>
    <xf numFmtId="192" fontId="43" fillId="17" borderId="60" xfId="53" applyNumberFormat="1" applyFont="1" applyFill="1" applyBorder="1"/>
    <xf numFmtId="0" fontId="43" fillId="17" borderId="57" xfId="53" applyFont="1" applyFill="1" applyBorder="1"/>
    <xf numFmtId="165" fontId="43" fillId="17" borderId="60" xfId="53" applyNumberFormat="1" applyFont="1" applyFill="1" applyBorder="1"/>
    <xf numFmtId="11" fontId="11" fillId="0" borderId="3" xfId="0" applyNumberFormat="1" applyFont="1" applyBorder="1" applyAlignment="1">
      <alignment wrapText="1"/>
    </xf>
    <xf numFmtId="0" fontId="38" fillId="0" borderId="60" xfId="53" applyFont="1" applyBorder="1" applyAlignment="1">
      <alignment wrapText="1"/>
    </xf>
    <xf numFmtId="37" fontId="11" fillId="0" borderId="3" xfId="0" applyNumberFormat="1" applyFont="1" applyBorder="1" applyAlignment="1">
      <alignment horizontal="right"/>
    </xf>
    <xf numFmtId="0" fontId="11" fillId="0" borderId="3" xfId="0" applyFont="1" applyBorder="1" applyAlignment="1">
      <alignment horizontal="right"/>
    </xf>
    <xf numFmtId="0" fontId="11" fillId="0" borderId="3" xfId="50" applyNumberFormat="1" applyFont="1" applyBorder="1" applyAlignment="1"/>
    <xf numFmtId="169" fontId="11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5" fillId="0" borderId="0" xfId="8" applyFont="1" applyBorder="1"/>
    <xf numFmtId="0" fontId="11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1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1" fillId="0" borderId="51" xfId="0" applyFont="1" applyFill="1" applyBorder="1"/>
    <xf numFmtId="0" fontId="11" fillId="0" borderId="45" xfId="30" applyFont="1" applyFill="1" applyBorder="1" applyAlignment="1">
      <alignment wrapText="1"/>
    </xf>
    <xf numFmtId="0" fontId="11" fillId="0" borderId="16" xfId="0" applyFont="1" applyFill="1" applyBorder="1"/>
    <xf numFmtId="0" fontId="11" fillId="0" borderId="55" xfId="46" applyFont="1" applyFill="1" applyBorder="1"/>
    <xf numFmtId="0" fontId="11" fillId="0" borderId="3" xfId="46" applyNumberFormat="1" applyFont="1" applyFill="1" applyBorder="1"/>
    <xf numFmtId="0" fontId="11" fillId="0" borderId="3" xfId="46" applyFont="1" applyFill="1" applyBorder="1"/>
    <xf numFmtId="0" fontId="11" fillId="0" borderId="53" xfId="30" applyFont="1" applyFill="1" applyBorder="1" applyAlignment="1">
      <alignment wrapText="1"/>
    </xf>
    <xf numFmtId="0" fontId="11" fillId="0" borderId="33" xfId="7" applyNumberFormat="1" applyFont="1" applyBorder="1" applyAlignment="1">
      <alignment wrapText="1"/>
    </xf>
    <xf numFmtId="0" fontId="11" fillId="0" borderId="3" xfId="0" applyNumberFormat="1" applyFont="1" applyFill="1" applyBorder="1"/>
    <xf numFmtId="0" fontId="11" fillId="0" borderId="3" xfId="7" applyNumberFormat="1" applyFont="1" applyBorder="1" applyAlignment="1">
      <alignment wrapText="1"/>
    </xf>
    <xf numFmtId="0" fontId="11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1" fillId="0" borderId="3" xfId="55" applyFont="1" applyFill="1" applyBorder="1"/>
    <xf numFmtId="170" fontId="11" fillId="0" borderId="3" xfId="36" applyFont="1" applyFill="1" applyBorder="1"/>
    <xf numFmtId="0" fontId="11" fillId="0" borderId="3" xfId="55" applyNumberFormat="1" applyFont="1" applyFill="1" applyBorder="1"/>
    <xf numFmtId="0" fontId="11" fillId="0" borderId="16" xfId="7" applyNumberFormat="1" applyFont="1" applyBorder="1" applyAlignment="1">
      <alignment wrapText="1"/>
    </xf>
    <xf numFmtId="0" fontId="11" fillId="0" borderId="16" xfId="42" applyFont="1" applyBorder="1"/>
    <xf numFmtId="0" fontId="12" fillId="0" borderId="3" xfId="42" applyBorder="1"/>
    <xf numFmtId="0" fontId="1" fillId="0" borderId="16" xfId="7" applyNumberFormat="1" applyFont="1" applyBorder="1" applyAlignment="1">
      <alignment wrapText="1"/>
    </xf>
    <xf numFmtId="0" fontId="33" fillId="0" borderId="3" xfId="42" applyFont="1" applyFill="1" applyBorder="1"/>
    <xf numFmtId="0" fontId="0" fillId="0" borderId="3" xfId="42" applyFont="1" applyBorder="1"/>
    <xf numFmtId="0" fontId="53" fillId="0" borderId="0" xfId="0" applyFont="1" applyBorder="1"/>
    <xf numFmtId="195" fontId="33" fillId="0" borderId="3" xfId="41" applyNumberFormat="1" applyFont="1" applyFill="1" applyBorder="1"/>
    <xf numFmtId="11" fontId="33" fillId="0" borderId="3" xfId="41" applyNumberFormat="1" applyFont="1" applyFill="1" applyBorder="1"/>
    <xf numFmtId="43" fontId="33" fillId="0" borderId="3" xfId="41" applyFont="1" applyFill="1" applyBorder="1"/>
    <xf numFmtId="2" fontId="33" fillId="0" borderId="3" xfId="36" applyNumberFormat="1" applyFont="1" applyFill="1" applyBorder="1"/>
    <xf numFmtId="0" fontId="33" fillId="0" borderId="3" xfId="55" applyFont="1" applyFill="1" applyBorder="1"/>
    <xf numFmtId="11" fontId="33" fillId="0" borderId="3" xfId="55" applyNumberFormat="1" applyFont="1" applyFill="1" applyBorder="1"/>
    <xf numFmtId="0" fontId="38" fillId="0" borderId="0" xfId="55" applyFont="1"/>
    <xf numFmtId="0" fontId="1" fillId="0" borderId="0" xfId="55"/>
    <xf numFmtId="165" fontId="43" fillId="17" borderId="60" xfId="55" applyNumberFormat="1" applyFont="1" applyFill="1" applyBorder="1"/>
    <xf numFmtId="0" fontId="43" fillId="17" borderId="61" xfId="55" applyFont="1" applyFill="1" applyBorder="1" applyAlignment="1">
      <alignment horizontal="right"/>
    </xf>
    <xf numFmtId="0" fontId="11" fillId="0" borderId="3" xfId="42" applyFont="1" applyBorder="1"/>
    <xf numFmtId="190" fontId="11" fillId="0" borderId="3" xfId="42" applyNumberFormat="1" applyFont="1" applyBorder="1"/>
    <xf numFmtId="0" fontId="11" fillId="0" borderId="3" xfId="42" applyFont="1" applyBorder="1" applyAlignment="1">
      <alignment wrapText="1"/>
    </xf>
    <xf numFmtId="0" fontId="38" fillId="0" borderId="61" xfId="55" applyFont="1" applyBorder="1"/>
    <xf numFmtId="0" fontId="43" fillId="17" borderId="58" xfId="55" applyFont="1" applyFill="1" applyBorder="1"/>
    <xf numFmtId="192" fontId="43" fillId="17" borderId="60" xfId="55" applyNumberFormat="1" applyFont="1" applyFill="1" applyBorder="1"/>
    <xf numFmtId="165" fontId="38" fillId="0" borderId="60" xfId="55" applyNumberFormat="1" applyFont="1" applyBorder="1"/>
    <xf numFmtId="0" fontId="38" fillId="0" borderId="60" xfId="55" applyNumberFormat="1" applyFont="1" applyBorder="1"/>
    <xf numFmtId="191" fontId="38" fillId="0" borderId="60" xfId="55" applyNumberFormat="1" applyFont="1" applyBorder="1"/>
    <xf numFmtId="11" fontId="38" fillId="0" borderId="60" xfId="55" applyNumberFormat="1" applyFont="1" applyBorder="1"/>
    <xf numFmtId="164" fontId="38" fillId="0" borderId="60" xfId="55" applyNumberFormat="1" applyFont="1" applyBorder="1"/>
    <xf numFmtId="0" fontId="38" fillId="0" borderId="60" xfId="55" applyFont="1" applyBorder="1"/>
    <xf numFmtId="190" fontId="38" fillId="0" borderId="60" xfId="55" applyNumberFormat="1" applyFont="1" applyBorder="1"/>
    <xf numFmtId="0" fontId="38" fillId="0" borderId="70" xfId="55" applyFont="1" applyBorder="1"/>
    <xf numFmtId="0" fontId="43" fillId="17" borderId="64" xfId="55" applyFont="1" applyFill="1" applyBorder="1"/>
    <xf numFmtId="0" fontId="43" fillId="17" borderId="2" xfId="55" applyFont="1" applyFill="1" applyBorder="1"/>
    <xf numFmtId="0" fontId="43" fillId="17" borderId="2" xfId="55" applyFont="1" applyFill="1" applyBorder="1" applyAlignment="1">
      <alignment horizontal="left"/>
    </xf>
    <xf numFmtId="0" fontId="12" fillId="0" borderId="50" xfId="42" applyBorder="1"/>
    <xf numFmtId="0" fontId="12" fillId="0" borderId="49" xfId="42" applyBorder="1"/>
    <xf numFmtId="0" fontId="12" fillId="0" borderId="48" xfId="42" applyBorder="1"/>
    <xf numFmtId="0" fontId="12" fillId="0" borderId="43" xfId="42" applyBorder="1"/>
    <xf numFmtId="0" fontId="12" fillId="0" borderId="44" xfId="42" applyBorder="1"/>
    <xf numFmtId="0" fontId="43" fillId="0" borderId="0" xfId="55" applyFont="1" applyBorder="1"/>
    <xf numFmtId="0" fontId="43" fillId="0" borderId="44" xfId="55" applyFont="1" applyBorder="1"/>
    <xf numFmtId="0" fontId="12" fillId="0" borderId="43" xfId="42" applyFont="1" applyBorder="1"/>
    <xf numFmtId="1" fontId="33" fillId="0" borderId="3" xfId="42" applyNumberFormat="1" applyFont="1" applyFill="1" applyBorder="1"/>
    <xf numFmtId="0" fontId="33" fillId="0" borderId="3" xfId="42" applyFont="1" applyFill="1" applyBorder="1" applyAlignment="1">
      <alignment wrapText="1"/>
    </xf>
    <xf numFmtId="0" fontId="12" fillId="0" borderId="71" xfId="42" applyBorder="1"/>
    <xf numFmtId="0" fontId="12" fillId="0" borderId="3" xfId="42" applyBorder="1" applyAlignment="1">
      <alignment wrapText="1"/>
    </xf>
    <xf numFmtId="0" fontId="12" fillId="0" borderId="43" xfId="42" applyBorder="1" applyAlignment="1">
      <alignment wrapText="1"/>
    </xf>
    <xf numFmtId="0" fontId="33" fillId="0" borderId="71" xfId="42" applyFont="1" applyFill="1" applyBorder="1"/>
    <xf numFmtId="0" fontId="38" fillId="0" borderId="60" xfId="56" applyFont="1" applyBorder="1"/>
    <xf numFmtId="0" fontId="43" fillId="17" borderId="57" xfId="55" applyFont="1" applyFill="1" applyBorder="1"/>
    <xf numFmtId="0" fontId="12" fillId="0" borderId="43" xfId="42" applyBorder="1" applyAlignment="1"/>
    <xf numFmtId="0" fontId="33" fillId="0" borderId="3" xfId="41" applyNumberFormat="1" applyFont="1" applyFill="1" applyBorder="1"/>
    <xf numFmtId="11" fontId="33" fillId="0" borderId="28" xfId="58" applyNumberFormat="1" applyFont="1" applyFill="1" applyBorder="1"/>
    <xf numFmtId="43" fontId="33" fillId="0" borderId="46" xfId="42" applyNumberFormat="1" applyFont="1" applyFill="1" applyBorder="1"/>
    <xf numFmtId="0" fontId="38" fillId="0" borderId="0" xfId="55" applyFont="1" applyBorder="1"/>
    <xf numFmtId="0" fontId="38" fillId="0" borderId="44" xfId="55" applyFont="1" applyBorder="1"/>
    <xf numFmtId="0" fontId="43" fillId="17" borderId="63" xfId="55" applyFont="1" applyFill="1" applyBorder="1"/>
    <xf numFmtId="165" fontId="38" fillId="0" borderId="0" xfId="55" applyNumberFormat="1" applyFont="1" applyBorder="1"/>
    <xf numFmtId="37" fontId="38" fillId="0" borderId="0" xfId="55" applyNumberFormat="1" applyFont="1" applyBorder="1"/>
    <xf numFmtId="0" fontId="38" fillId="0" borderId="0" xfId="55" applyFont="1" applyBorder="1" applyAlignment="1">
      <alignment horizontal="right"/>
    </xf>
    <xf numFmtId="0" fontId="43" fillId="17" borderId="62" xfId="55" applyFont="1" applyFill="1" applyBorder="1"/>
    <xf numFmtId="0" fontId="12" fillId="0" borderId="42" xfId="42" applyBorder="1"/>
    <xf numFmtId="0" fontId="12" fillId="0" borderId="41" xfId="42" applyBorder="1"/>
    <xf numFmtId="0" fontId="12" fillId="13" borderId="41" xfId="42" applyFill="1" applyBorder="1"/>
    <xf numFmtId="0" fontId="12" fillId="0" borderId="40" xfId="42" applyBorder="1"/>
    <xf numFmtId="0" fontId="33" fillId="0" borderId="0" xfId="58" applyFont="1"/>
    <xf numFmtId="0" fontId="0" fillId="0" borderId="0" xfId="0" applyFill="1" applyBorder="1"/>
    <xf numFmtId="0" fontId="33" fillId="0" borderId="0" xfId="58" applyFont="1" applyFill="1" applyBorder="1"/>
    <xf numFmtId="0" fontId="1" fillId="0" borderId="0" xfId="59" applyFill="1" applyBorder="1"/>
    <xf numFmtId="165" fontId="33" fillId="0" borderId="0" xfId="58" applyNumberFormat="1" applyFont="1" applyFill="1" applyBorder="1"/>
    <xf numFmtId="0" fontId="33" fillId="0" borderId="0" xfId="58" applyFont="1" applyFill="1" applyBorder="1" applyAlignment="1">
      <alignment horizontal="right"/>
    </xf>
    <xf numFmtId="0" fontId="54" fillId="0" borderId="0" xfId="58" applyFont="1" applyFill="1" applyBorder="1"/>
    <xf numFmtId="165" fontId="54" fillId="0" borderId="0" xfId="58" applyNumberFormat="1" applyFont="1" applyFill="1" applyBorder="1"/>
    <xf numFmtId="0" fontId="54" fillId="0" borderId="0" xfId="58" applyFont="1" applyFill="1" applyBorder="1" applyAlignment="1">
      <alignment horizontal="right"/>
    </xf>
    <xf numFmtId="165" fontId="33" fillId="0" borderId="0" xfId="29" applyFont="1" applyFill="1" applyBorder="1" applyAlignment="1" applyProtection="1"/>
    <xf numFmtId="0" fontId="33" fillId="0" borderId="0" xfId="58" applyFont="1" applyFill="1" applyBorder="1" applyAlignment="1">
      <alignment wrapText="1"/>
    </xf>
    <xf numFmtId="2" fontId="33" fillId="0" borderId="0" xfId="58" applyNumberFormat="1" applyFont="1" applyFill="1" applyBorder="1"/>
    <xf numFmtId="0" fontId="33" fillId="0" borderId="0" xfId="58" applyNumberFormat="1" applyFont="1" applyFill="1" applyBorder="1"/>
    <xf numFmtId="165" fontId="33" fillId="0" borderId="0" xfId="29" applyNumberFormat="1" applyFont="1" applyFill="1" applyBorder="1" applyAlignment="1" applyProtection="1"/>
    <xf numFmtId="0" fontId="33" fillId="0" borderId="0" xfId="60" applyNumberFormat="1" applyFont="1" applyFill="1" applyBorder="1" applyAlignment="1" applyProtection="1"/>
    <xf numFmtId="191" fontId="33" fillId="0" borderId="0" xfId="60" applyNumberFormat="1" applyFont="1" applyFill="1" applyBorder="1" applyAlignment="1" applyProtection="1"/>
    <xf numFmtId="11" fontId="33" fillId="0" borderId="0" xfId="60" applyNumberFormat="1" applyFont="1" applyFill="1" applyBorder="1" applyAlignment="1" applyProtection="1"/>
    <xf numFmtId="11" fontId="33" fillId="0" borderId="0" xfId="58" applyNumberFormat="1" applyFont="1" applyFill="1" applyBorder="1"/>
    <xf numFmtId="164" fontId="33" fillId="0" borderId="0" xfId="60" applyFont="1" applyFill="1" applyBorder="1" applyAlignment="1" applyProtection="1"/>
    <xf numFmtId="177" fontId="33" fillId="0" borderId="0" xfId="58" applyNumberFormat="1" applyFont="1" applyFill="1" applyBorder="1"/>
    <xf numFmtId="0" fontId="33" fillId="0" borderId="0" xfId="58" applyFont="1" applyFill="1" applyBorder="1" applyAlignment="1">
      <alignment horizontal="left"/>
    </xf>
    <xf numFmtId="0" fontId="22" fillId="0" borderId="0" xfId="58" applyFont="1" applyFill="1" applyBorder="1"/>
    <xf numFmtId="0" fontId="47" fillId="0" borderId="0" xfId="54" applyFill="1" applyBorder="1"/>
    <xf numFmtId="37" fontId="33" fillId="0" borderId="0" xfId="60" applyNumberFormat="1" applyFont="1" applyFill="1" applyBorder="1" applyAlignment="1" applyProtection="1"/>
    <xf numFmtId="0" fontId="38" fillId="0" borderId="0" xfId="59" applyFont="1" applyFill="1" applyBorder="1" applyAlignment="1">
      <alignment horizontal="right"/>
    </xf>
    <xf numFmtId="0" fontId="54" fillId="0" borderId="0" xfId="58" applyFont="1" applyFill="1" applyBorder="1" applyAlignment="1">
      <alignment horizontal="left"/>
    </xf>
    <xf numFmtId="0" fontId="10" fillId="8" borderId="72" xfId="0" applyFont="1" applyFill="1" applyBorder="1"/>
    <xf numFmtId="11" fontId="33" fillId="0" borderId="73" xfId="58" applyNumberFormat="1" applyFont="1" applyFill="1" applyBorder="1"/>
    <xf numFmtId="196" fontId="11" fillId="0" borderId="3" xfId="0" applyNumberFormat="1" applyFont="1" applyBorder="1" applyAlignment="1"/>
    <xf numFmtId="0" fontId="11" fillId="0" borderId="72" xfId="0" applyFont="1" applyBorder="1" applyAlignment="1"/>
    <xf numFmtId="0" fontId="10" fillId="7" borderId="3" xfId="0" applyFont="1" applyFill="1" applyBorder="1"/>
    <xf numFmtId="0" fontId="38" fillId="0" borderId="68" xfId="55" applyFont="1" applyBorder="1"/>
    <xf numFmtId="0" fontId="38" fillId="0" borderId="59" xfId="55" applyFont="1" applyBorder="1"/>
    <xf numFmtId="0" fontId="38" fillId="0" borderId="48" xfId="55" applyFont="1" applyBorder="1"/>
    <xf numFmtId="0" fontId="38" fillId="0" borderId="49" xfId="55" applyFont="1" applyBorder="1"/>
    <xf numFmtId="0" fontId="38" fillId="0" borderId="49" xfId="55" applyFont="1" applyBorder="1" applyAlignment="1">
      <alignment horizontal="right"/>
    </xf>
    <xf numFmtId="165" fontId="38" fillId="0" borderId="49" xfId="55" applyNumberFormat="1" applyFont="1" applyBorder="1"/>
    <xf numFmtId="11" fontId="33" fillId="0" borderId="3" xfId="57" applyNumberFormat="1" applyFont="1" applyFill="1" applyBorder="1"/>
    <xf numFmtId="11" fontId="11" fillId="0" borderId="3" xfId="7" applyNumberFormat="1" applyFont="1" applyBorder="1" applyAlignment="1" applyProtection="1"/>
    <xf numFmtId="0" fontId="11" fillId="0" borderId="72" xfId="0" applyFont="1" applyBorder="1" applyAlignment="1">
      <alignment wrapText="1"/>
    </xf>
    <xf numFmtId="0" fontId="11" fillId="0" borderId="3" xfId="0" applyFont="1" applyBorder="1" applyAlignment="1" applyProtection="1">
      <alignment wrapText="1"/>
    </xf>
    <xf numFmtId="0" fontId="11" fillId="0" borderId="3" xfId="0" applyFont="1" applyBorder="1" applyAlignment="1">
      <alignment wrapText="1"/>
    </xf>
    <xf numFmtId="196" fontId="11" fillId="0" borderId="3" xfId="0" applyNumberFormat="1" applyFont="1" applyBorder="1" applyAlignment="1">
      <alignment wrapText="1"/>
    </xf>
    <xf numFmtId="164" fontId="11" fillId="0" borderId="3" xfId="7" applyNumberFormat="1" applyFont="1" applyBorder="1" applyAlignment="1" applyProtection="1">
      <alignment wrapText="1"/>
    </xf>
    <xf numFmtId="11" fontId="33" fillId="0" borderId="73" xfId="58" applyNumberFormat="1" applyFont="1" applyFill="1" applyBorder="1" applyAlignment="1">
      <alignment wrapText="1"/>
    </xf>
    <xf numFmtId="0" fontId="10" fillId="0" borderId="21" xfId="0" applyFont="1" applyBorder="1" applyAlignment="1">
      <alignment wrapText="1"/>
    </xf>
    <xf numFmtId="0" fontId="10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0" fillId="8" borderId="72" xfId="0" applyFont="1" applyFill="1" applyBorder="1" applyAlignment="1">
      <alignment wrapText="1"/>
    </xf>
    <xf numFmtId="0" fontId="10" fillId="8" borderId="3" xfId="0" applyFont="1" applyFill="1" applyBorder="1" applyAlignment="1">
      <alignment wrapText="1"/>
    </xf>
    <xf numFmtId="0" fontId="38" fillId="0" borderId="61" xfId="55" applyFont="1" applyBorder="1" applyAlignment="1">
      <alignment wrapText="1"/>
    </xf>
    <xf numFmtId="0" fontId="38" fillId="0" borderId="60" xfId="55" applyFont="1" applyBorder="1" applyAlignment="1">
      <alignment wrapText="1"/>
    </xf>
    <xf numFmtId="165" fontId="38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1" fillId="0" borderId="3" xfId="7" applyNumberFormat="1" applyFont="1" applyBorder="1" applyAlignment="1" applyProtection="1">
      <alignment wrapText="1"/>
    </xf>
    <xf numFmtId="0" fontId="10" fillId="8" borderId="3" xfId="0" applyFont="1" applyFill="1" applyBorder="1" applyAlignment="1">
      <alignment horizontal="right" wrapText="1"/>
    </xf>
    <xf numFmtId="165" fontId="10" fillId="8" borderId="5" xfId="0" applyNumberFormat="1" applyFont="1" applyFill="1" applyBorder="1" applyAlignment="1">
      <alignment wrapText="1"/>
    </xf>
    <xf numFmtId="0" fontId="10" fillId="8" borderId="5" xfId="0" applyFont="1" applyFill="1" applyBorder="1" applyAlignment="1">
      <alignment horizontal="right" wrapText="1"/>
    </xf>
    <xf numFmtId="11" fontId="11" fillId="0" borderId="3" xfId="7" applyNumberFormat="1" applyFont="1" applyBorder="1" applyAlignment="1" applyProtection="1">
      <alignment wrapText="1"/>
    </xf>
    <xf numFmtId="0" fontId="10" fillId="7" borderId="16" xfId="0" applyFont="1" applyFill="1" applyBorder="1" applyAlignment="1"/>
    <xf numFmtId="0" fontId="10" fillId="7" borderId="0" xfId="0" applyFont="1" applyFill="1" applyBorder="1" applyAlignment="1"/>
    <xf numFmtId="37" fontId="11" fillId="0" borderId="16" xfId="0" applyNumberFormat="1" applyFont="1" applyBorder="1"/>
    <xf numFmtId="0" fontId="25" fillId="0" borderId="16" xfId="8" applyBorder="1"/>
    <xf numFmtId="165" fontId="10" fillId="7" borderId="16" xfId="0" applyNumberFormat="1" applyFont="1" applyFill="1" applyBorder="1" applyAlignment="1"/>
    <xf numFmtId="0" fontId="33" fillId="0" borderId="74" xfId="0" applyFont="1" applyFill="1" applyBorder="1"/>
    <xf numFmtId="170" fontId="33" fillId="0" borderId="74" xfId="36" applyFont="1" applyFill="1" applyBorder="1"/>
    <xf numFmtId="0" fontId="33" fillId="0" borderId="3" xfId="0" applyFont="1" applyFill="1" applyBorder="1"/>
    <xf numFmtId="0" fontId="10" fillId="8" borderId="16" xfId="0" applyFont="1" applyFill="1" applyBorder="1" applyAlignment="1"/>
    <xf numFmtId="0" fontId="25" fillId="0" borderId="0" xfId="8" applyFill="1"/>
    <xf numFmtId="0" fontId="10" fillId="8" borderId="2" xfId="0" applyFont="1" applyFill="1" applyBorder="1" applyAlignment="1"/>
    <xf numFmtId="0" fontId="10" fillId="8" borderId="27" xfId="0" applyFont="1" applyFill="1" applyBorder="1" applyAlignment="1"/>
    <xf numFmtId="0" fontId="10" fillId="8" borderId="5" xfId="0" applyFont="1" applyFill="1" applyBorder="1" applyAlignment="1"/>
    <xf numFmtId="0" fontId="10" fillId="8" borderId="3" xfId="0" applyFont="1" applyFill="1" applyBorder="1" applyAlignment="1"/>
    <xf numFmtId="43" fontId="11" fillId="0" borderId="3" xfId="0" applyNumberFormat="1" applyFont="1" applyBorder="1" applyAlignment="1"/>
    <xf numFmtId="177" fontId="11" fillId="0" borderId="3" xfId="7" applyNumberFormat="1" applyFont="1" applyBorder="1" applyAlignment="1" applyProtection="1"/>
    <xf numFmtId="165" fontId="10" fillId="8" borderId="5" xfId="0" applyNumberFormat="1" applyFont="1" applyFill="1" applyBorder="1" applyAlignment="1"/>
    <xf numFmtId="0" fontId="10" fillId="8" borderId="22" xfId="0" applyFont="1" applyFill="1" applyBorder="1" applyAlignment="1"/>
    <xf numFmtId="0" fontId="33" fillId="0" borderId="3" xfId="0" applyFont="1" applyFill="1" applyBorder="1" applyAlignment="1">
      <alignment wrapText="1"/>
    </xf>
    <xf numFmtId="0" fontId="33" fillId="0" borderId="3" xfId="0" applyNumberFormat="1" applyFont="1" applyFill="1" applyBorder="1" applyAlignment="1">
      <alignment wrapText="1"/>
    </xf>
    <xf numFmtId="170" fontId="33" fillId="0" borderId="3" xfId="36" applyFont="1" applyFill="1" applyBorder="1" applyAlignment="1">
      <alignment wrapText="1"/>
    </xf>
    <xf numFmtId="165" fontId="11" fillId="0" borderId="16" xfId="7" applyNumberFormat="1" applyFont="1" applyBorder="1" applyAlignment="1" applyProtection="1">
      <alignment wrapText="1"/>
    </xf>
    <xf numFmtId="0" fontId="33" fillId="0" borderId="3" xfId="42" applyFont="1" applyBorder="1" applyAlignment="1">
      <alignment wrapText="1"/>
    </xf>
    <xf numFmtId="170" fontId="33" fillId="0" borderId="74" xfId="36" applyFont="1" applyFill="1" applyBorder="1" applyAlignment="1">
      <alignment wrapText="1"/>
    </xf>
    <xf numFmtId="172" fontId="33" fillId="0" borderId="3" xfId="0" applyNumberFormat="1" applyFont="1" applyFill="1" applyBorder="1" applyAlignment="1">
      <alignment wrapText="1"/>
    </xf>
    <xf numFmtId="170" fontId="38" fillId="0" borderId="45" xfId="36" applyFont="1" applyBorder="1" applyAlignment="1">
      <alignment wrapText="1"/>
    </xf>
    <xf numFmtId="39" fontId="33" fillId="0" borderId="3" xfId="36" applyNumberFormat="1" applyFont="1" applyFill="1" applyBorder="1" applyAlignment="1">
      <alignment wrapText="1"/>
    </xf>
    <xf numFmtId="37" fontId="33" fillId="0" borderId="3" xfId="36" applyNumberFormat="1" applyFont="1" applyFill="1" applyBorder="1" applyAlignment="1">
      <alignment wrapText="1"/>
    </xf>
    <xf numFmtId="165" fontId="10" fillId="8" borderId="75" xfId="0" applyNumberFormat="1" applyFont="1" applyFill="1" applyBorder="1" applyAlignment="1"/>
    <xf numFmtId="0" fontId="0" fillId="0" borderId="32" xfId="0" applyBorder="1"/>
    <xf numFmtId="0" fontId="10" fillId="8" borderId="51" xfId="0" applyFont="1" applyFill="1" applyBorder="1" applyAlignment="1"/>
    <xf numFmtId="0" fontId="10" fillId="0" borderId="76" xfId="0" applyFont="1" applyBorder="1"/>
    <xf numFmtId="0" fontId="10" fillId="8" borderId="77" xfId="0" applyFont="1" applyFill="1" applyBorder="1" applyAlignment="1"/>
    <xf numFmtId="0" fontId="11" fillId="0" borderId="55" xfId="0" applyFont="1" applyBorder="1" applyAlignment="1"/>
    <xf numFmtId="0" fontId="10" fillId="8" borderId="55" xfId="0" applyFont="1" applyFill="1" applyBorder="1" applyAlignment="1"/>
    <xf numFmtId="0" fontId="33" fillId="0" borderId="55" xfId="0" applyFont="1" applyFill="1" applyBorder="1"/>
    <xf numFmtId="0" fontId="11" fillId="0" borderId="55" xfId="0" applyFont="1" applyBorder="1" applyAlignment="1">
      <alignment wrapText="1"/>
    </xf>
    <xf numFmtId="43" fontId="11" fillId="0" borderId="3" xfId="0" applyNumberFormat="1" applyFont="1" applyBorder="1" applyAlignment="1">
      <alignment wrapText="1"/>
    </xf>
    <xf numFmtId="177" fontId="11" fillId="0" borderId="3" xfId="7" applyNumberFormat="1" applyFont="1" applyBorder="1" applyAlignment="1" applyProtection="1">
      <alignment wrapText="1"/>
    </xf>
    <xf numFmtId="168" fontId="11" fillId="0" borderId="3" xfId="7" applyNumberFormat="1" applyFont="1" applyBorder="1" applyAlignment="1" applyProtection="1">
      <alignment wrapText="1"/>
    </xf>
    <xf numFmtId="0" fontId="33" fillId="0" borderId="55" xfId="0" applyFont="1" applyFill="1" applyBorder="1" applyAlignment="1">
      <alignment wrapText="1"/>
    </xf>
    <xf numFmtId="170" fontId="33" fillId="0" borderId="3" xfId="3" applyFont="1" applyFill="1" applyBorder="1" applyAlignment="1">
      <alignment wrapText="1"/>
    </xf>
    <xf numFmtId="0" fontId="11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0" fillId="7" borderId="51" xfId="0" applyFont="1" applyFill="1" applyBorder="1" applyAlignment="1"/>
    <xf numFmtId="0" fontId="33" fillId="0" borderId="78" xfId="0" applyFont="1" applyFill="1" applyBorder="1"/>
    <xf numFmtId="0" fontId="33" fillId="0" borderId="78" xfId="0" applyFont="1" applyFill="1" applyBorder="1" applyAlignment="1">
      <alignment wrapText="1"/>
    </xf>
    <xf numFmtId="0" fontId="33" fillId="0" borderId="43" xfId="0" applyFont="1" applyFill="1" applyBorder="1"/>
    <xf numFmtId="0" fontId="11" fillId="0" borderId="0" xfId="7" applyNumberFormat="1" applyFont="1" applyBorder="1" applyAlignment="1"/>
    <xf numFmtId="0" fontId="10" fillId="0" borderId="43" xfId="0" applyFont="1" applyBorder="1"/>
    <xf numFmtId="165" fontId="11" fillId="0" borderId="74" xfId="7" applyNumberFormat="1" applyFont="1" applyBorder="1" applyAlignment="1" applyProtection="1"/>
    <xf numFmtId="165" fontId="10" fillId="8" borderId="3" xfId="0" applyNumberFormat="1" applyFont="1" applyFill="1" applyBorder="1" applyAlignment="1"/>
    <xf numFmtId="49" fontId="25" fillId="0" borderId="3" xfId="8" applyNumberFormat="1" applyBorder="1" applyAlignment="1" applyProtection="1"/>
    <xf numFmtId="49" fontId="25" fillId="10" borderId="3" xfId="8" applyNumberFormat="1" applyFill="1" applyBorder="1"/>
    <xf numFmtId="0" fontId="25" fillId="10" borderId="3" xfId="8" applyFill="1" applyBorder="1"/>
    <xf numFmtId="18" fontId="18" fillId="10" borderId="3" xfId="1" applyNumberFormat="1" applyFont="1" applyFill="1" applyBorder="1" applyAlignment="1" applyProtection="1">
      <alignment horizontal="left"/>
      <protection locked="0"/>
    </xf>
    <xf numFmtId="0" fontId="22" fillId="0" borderId="79" xfId="30" applyFont="1" applyFill="1" applyBorder="1" applyAlignment="1">
      <alignment wrapText="1"/>
    </xf>
    <xf numFmtId="39" fontId="33" fillId="0" borderId="3" xfId="36" applyNumberFormat="1" applyFont="1" applyFill="1" applyBorder="1"/>
    <xf numFmtId="37" fontId="33" fillId="0" borderId="3" xfId="36" applyNumberFormat="1" applyFont="1" applyFill="1" applyBorder="1"/>
    <xf numFmtId="0" fontId="10" fillId="8" borderId="72" xfId="0" applyFont="1" applyFill="1" applyBorder="1" applyAlignment="1"/>
    <xf numFmtId="165" fontId="33" fillId="0" borderId="16" xfId="7" applyNumberFormat="1" applyFont="1" applyBorder="1" applyAlignment="1" applyProtection="1">
      <alignment wrapText="1"/>
    </xf>
    <xf numFmtId="0" fontId="33" fillId="0" borderId="79" xfId="30" applyFont="1" applyFill="1" applyBorder="1" applyAlignment="1">
      <alignment wrapText="1"/>
    </xf>
    <xf numFmtId="170" fontId="38" fillId="0" borderId="79" xfId="36" applyFont="1" applyBorder="1" applyAlignment="1">
      <alignment wrapText="1"/>
    </xf>
    <xf numFmtId="165" fontId="11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</cellXfs>
  <cellStyles count="61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3" xfId="49"/>
    <cellStyle name="Normal 2 2 4 3 2" xfId="56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sharedStrings" Target="sharedString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externalLink" Target="externalLinks/externalLink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251772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525309</xdr:colOff>
      <xdr:row>13</xdr:row>
      <xdr:rowOff>118595</xdr:rowOff>
    </xdr:from>
    <xdr:to>
      <xdr:col>13</xdr:col>
      <xdr:colOff>118917</xdr:colOff>
      <xdr:row>26</xdr:row>
      <xdr:rowOff>159027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8074" y="2530491"/>
          <a:ext cx="2085017" cy="406246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482546</xdr:colOff>
      <xdr:row>12</xdr:row>
      <xdr:rowOff>66579</xdr:rowOff>
    </xdr:from>
    <xdr:to>
      <xdr:col>11</xdr:col>
      <xdr:colOff>554828</xdr:colOff>
      <xdr:row>17</xdr:row>
      <xdr:rowOff>64477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0284" y="2247071"/>
          <a:ext cx="1326651" cy="1088144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321733</xdr:colOff>
      <xdr:row>17</xdr:row>
      <xdr:rowOff>139181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89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90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91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92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93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94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9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96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97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98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9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00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01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02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03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04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0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06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07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85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topLeftCell="A28" workbookViewId="0">
      <selection activeCell="C43" sqref="C43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workbookViewId="0">
      <selection activeCell="N12" sqref="N1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1.0750440160000001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395" t="s">
        <v>193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2.1500880320000002</v>
      </c>
      <c r="O5" s="357"/>
    </row>
    <row r="6" spans="1:17" x14ac:dyDescent="0.3">
      <c r="A6" s="350" t="s">
        <v>7</v>
      </c>
      <c r="B6" s="362" t="s">
        <v>172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x14ac:dyDescent="0.3">
      <c r="A11" s="368">
        <v>10</v>
      </c>
      <c r="B11" s="396" t="s">
        <v>166</v>
      </c>
      <c r="C11" s="372" t="s">
        <v>38</v>
      </c>
      <c r="D11" s="379">
        <v>2.25</v>
      </c>
      <c r="E11" s="374">
        <f>J11*K11*L11</f>
        <v>1.7352896E-2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375">
        <v>1.0999999999999999E-2</v>
      </c>
      <c r="L11" s="377">
        <v>7850</v>
      </c>
      <c r="M11" s="378">
        <v>1</v>
      </c>
      <c r="N11" s="379">
        <f>D11*E11*M11</f>
        <v>3.9044016000000001E-2</v>
      </c>
      <c r="O11" s="380"/>
      <c r="Q11" s="135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3.9044016000000001E-2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ht="28.8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0.3</v>
      </c>
      <c r="G16" s="397" t="s">
        <v>268</v>
      </c>
      <c r="H16" s="397">
        <v>3</v>
      </c>
      <c r="I16" s="346">
        <f>IF(H16="",D16*F16,D16*F16*H16)</f>
        <v>3.6000000000000004E-2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1.036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80"/>
  <sheetViews>
    <sheetView zoomScale="80" zoomScaleNormal="80" workbookViewId="0">
      <selection activeCell="F2" sqref="F2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02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05" t="s">
        <v>1</v>
      </c>
      <c r="K2" s="806">
        <v>81</v>
      </c>
      <c r="L2" s="803"/>
      <c r="M2" s="802" t="s">
        <v>16</v>
      </c>
      <c r="N2" s="807">
        <f>SU_08001_m+SU_08001_p</f>
        <v>1.3710986506763019</v>
      </c>
      <c r="O2" s="276"/>
    </row>
    <row r="3" spans="1:15" x14ac:dyDescent="0.3">
      <c r="A3" s="802" t="s">
        <v>3</v>
      </c>
      <c r="B3" s="16" t="str">
        <f>'SU A0800'!B3</f>
        <v>Suspension &amp; Shocks</v>
      </c>
      <c r="C3" s="803"/>
      <c r="D3" s="802" t="s">
        <v>6</v>
      </c>
      <c r="E3" s="803"/>
      <c r="F3" s="803"/>
      <c r="G3" s="803"/>
      <c r="H3" s="803"/>
      <c r="I3" s="803"/>
      <c r="J3" s="803"/>
      <c r="K3" s="803"/>
      <c r="L3" s="803"/>
      <c r="M3" s="802" t="s">
        <v>4</v>
      </c>
      <c r="N3" s="808">
        <v>2</v>
      </c>
      <c r="O3" s="276"/>
    </row>
    <row r="4" spans="1:15" x14ac:dyDescent="0.3">
      <c r="A4" s="802" t="s">
        <v>5</v>
      </c>
      <c r="B4" s="88" t="str">
        <f>'SU A0800'!B4</f>
        <v>Rear Bell Crank</v>
      </c>
      <c r="C4" s="803"/>
      <c r="D4" s="802" t="s">
        <v>8</v>
      </c>
      <c r="E4" s="803"/>
      <c r="F4" s="803"/>
      <c r="G4" s="803"/>
      <c r="H4" s="803"/>
      <c r="I4" s="803"/>
      <c r="J4" s="802" t="s">
        <v>6</v>
      </c>
      <c r="K4" s="803"/>
      <c r="L4" s="803"/>
      <c r="M4" s="803"/>
      <c r="N4" s="803"/>
      <c r="O4" s="276"/>
    </row>
    <row r="5" spans="1:15" x14ac:dyDescent="0.3">
      <c r="A5" s="802" t="s">
        <v>15</v>
      </c>
      <c r="B5" s="753" t="s">
        <v>385</v>
      </c>
      <c r="C5" s="803"/>
      <c r="D5" s="802" t="s">
        <v>12</v>
      </c>
      <c r="E5" s="803"/>
      <c r="F5" s="803"/>
      <c r="G5" s="803"/>
      <c r="H5" s="803"/>
      <c r="I5" s="803"/>
      <c r="J5" s="802" t="s">
        <v>8</v>
      </c>
      <c r="K5" s="803"/>
      <c r="L5" s="803"/>
      <c r="M5" s="802" t="s">
        <v>9</v>
      </c>
      <c r="N5" s="807">
        <f>N2*SU_08001_q</f>
        <v>2.7421973013526038</v>
      </c>
      <c r="O5" s="276"/>
    </row>
    <row r="6" spans="1:15" x14ac:dyDescent="0.3">
      <c r="A6" s="802" t="s">
        <v>7</v>
      </c>
      <c r="B6" t="s">
        <v>447</v>
      </c>
      <c r="C6" s="803"/>
      <c r="D6" s="803"/>
      <c r="E6" s="803"/>
      <c r="F6" s="803"/>
      <c r="G6" s="803"/>
      <c r="H6" s="803"/>
      <c r="I6" s="803"/>
      <c r="J6" s="802" t="s">
        <v>12</v>
      </c>
      <c r="K6" s="803"/>
      <c r="L6" s="803"/>
      <c r="M6" s="803"/>
      <c r="N6" s="803"/>
      <c r="O6" s="276"/>
    </row>
    <row r="7" spans="1:15" x14ac:dyDescent="0.3">
      <c r="A7" s="802" t="s">
        <v>10</v>
      </c>
      <c r="B7" s="803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02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10" t="s">
        <v>14</v>
      </c>
      <c r="B10" s="811" t="s">
        <v>19</v>
      </c>
      <c r="C10" s="811" t="s">
        <v>20</v>
      </c>
      <c r="D10" s="811" t="s">
        <v>21</v>
      </c>
      <c r="E10" s="811" t="s">
        <v>22</v>
      </c>
      <c r="F10" s="811" t="s">
        <v>23</v>
      </c>
      <c r="G10" s="811" t="s">
        <v>24</v>
      </c>
      <c r="H10" s="811" t="s">
        <v>25</v>
      </c>
      <c r="I10" s="811" t="s">
        <v>26</v>
      </c>
      <c r="J10" s="811" t="s">
        <v>27</v>
      </c>
      <c r="K10" s="811" t="s">
        <v>28</v>
      </c>
      <c r="L10" s="811" t="s">
        <v>29</v>
      </c>
      <c r="M10" s="811" t="s">
        <v>17</v>
      </c>
      <c r="N10" s="811" t="s">
        <v>18</v>
      </c>
      <c r="O10" s="276"/>
    </row>
    <row r="11" spans="1:15" x14ac:dyDescent="0.3">
      <c r="A11" s="812">
        <v>10</v>
      </c>
      <c r="B11" s="813" t="s">
        <v>405</v>
      </c>
      <c r="C11" s="814" t="s">
        <v>406</v>
      </c>
      <c r="D11" s="815">
        <v>3.3</v>
      </c>
      <c r="E11" s="816">
        <f>J11*K11*L11</f>
        <v>1.3969288083727863E-2</v>
      </c>
      <c r="F11" s="817" t="s">
        <v>212</v>
      </c>
      <c r="G11" s="817"/>
      <c r="H11" s="818"/>
      <c r="I11" s="819" t="s">
        <v>407</v>
      </c>
      <c r="J11" s="819">
        <f>PI()*(7.5*10^-3)^2</f>
        <v>1.7671458676442585E-4</v>
      </c>
      <c r="K11" s="820">
        <v>9.2999999999999992E-3</v>
      </c>
      <c r="L11" s="821">
        <v>8500</v>
      </c>
      <c r="M11" s="821">
        <v>1</v>
      </c>
      <c r="N11" s="815">
        <f>D11*E11</f>
        <v>4.6098650676301943E-2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24" t="s">
        <v>18</v>
      </c>
      <c r="N12" s="825">
        <f>N11</f>
        <v>4.6098650676301943E-2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10" t="s">
        <v>14</v>
      </c>
      <c r="B14" s="811" t="s">
        <v>31</v>
      </c>
      <c r="C14" s="811" t="s">
        <v>20</v>
      </c>
      <c r="D14" s="811" t="s">
        <v>21</v>
      </c>
      <c r="E14" s="811" t="s">
        <v>32</v>
      </c>
      <c r="F14" s="811" t="s">
        <v>17</v>
      </c>
      <c r="G14" s="811" t="s">
        <v>33</v>
      </c>
      <c r="H14" s="811" t="s">
        <v>34</v>
      </c>
      <c r="I14" s="811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39</v>
      </c>
      <c r="C15" s="817"/>
      <c r="D15" s="815">
        <v>1.3</v>
      </c>
      <c r="E15" s="817" t="s">
        <v>35</v>
      </c>
      <c r="F15" s="817">
        <v>1</v>
      </c>
      <c r="G15" s="817"/>
      <c r="H15" s="817"/>
      <c r="I15" s="815">
        <v>1.3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408</v>
      </c>
      <c r="C16" s="817" t="s">
        <v>409</v>
      </c>
      <c r="D16" s="815">
        <v>0.04</v>
      </c>
      <c r="E16" s="817" t="s">
        <v>161</v>
      </c>
      <c r="F16" s="817">
        <v>1.25</v>
      </c>
      <c r="G16" s="817" t="s">
        <v>410</v>
      </c>
      <c r="H16" s="817">
        <v>0.5</v>
      </c>
      <c r="I16" s="815">
        <f>D16*F16*H16</f>
        <v>2.5000000000000001E-2</v>
      </c>
      <c r="J16" s="803"/>
      <c r="K16" s="803"/>
      <c r="L16" s="803"/>
      <c r="M16" s="803"/>
      <c r="N16" s="803"/>
      <c r="O16" s="276"/>
    </row>
    <row r="17" spans="1:15" x14ac:dyDescent="0.3">
      <c r="A17" s="822"/>
      <c r="B17" s="823"/>
      <c r="C17" s="823"/>
      <c r="D17" s="823"/>
      <c r="E17" s="823"/>
      <c r="F17" s="823"/>
      <c r="G17" s="823"/>
      <c r="H17" s="824" t="s">
        <v>18</v>
      </c>
      <c r="I17" s="827">
        <f>I15+I16</f>
        <v>1.325</v>
      </c>
      <c r="J17" s="823"/>
      <c r="K17" s="823"/>
      <c r="L17" s="823"/>
      <c r="M17" s="823"/>
      <c r="N17" s="823"/>
      <c r="O17" s="276"/>
    </row>
    <row r="18" spans="1:15" x14ac:dyDescent="0.3">
      <c r="A18" s="809"/>
      <c r="B18" s="803"/>
      <c r="C18" s="803"/>
      <c r="D18" s="803"/>
      <c r="E18" s="803"/>
      <c r="F18" s="803"/>
      <c r="G18" s="803"/>
      <c r="H18" s="806"/>
      <c r="I18" s="807"/>
      <c r="J18" s="803"/>
      <c r="K18" s="803"/>
      <c r="L18" s="803"/>
      <c r="M18" s="803"/>
      <c r="N18" s="803"/>
      <c r="O18" s="276"/>
    </row>
    <row r="19" spans="1:15" x14ac:dyDescent="0.3">
      <c r="A19" s="809"/>
      <c r="B19" s="803"/>
      <c r="C19" s="803"/>
      <c r="D19" s="803"/>
      <c r="E19" s="803"/>
      <c r="F19" s="803"/>
      <c r="G19" s="803"/>
      <c r="H19" s="803"/>
      <c r="I19" s="803"/>
      <c r="J19" s="803"/>
      <c r="K19" s="803"/>
      <c r="L19" s="803"/>
      <c r="M19" s="803"/>
      <c r="N19" s="803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3"/>
      <c r="I20" s="803"/>
      <c r="J20" s="803"/>
      <c r="K20" s="803"/>
      <c r="L20" s="803"/>
      <c r="M20" s="803"/>
      <c r="N20" s="803"/>
      <c r="O20" s="276"/>
    </row>
    <row r="21" spans="1:15" x14ac:dyDescent="0.3">
      <c r="A21" s="809"/>
      <c r="B21" s="803"/>
      <c r="C21" s="803"/>
      <c r="D21" s="803"/>
      <c r="E21" s="803"/>
      <c r="F21" s="803"/>
      <c r="G21" s="803"/>
      <c r="H21" s="803"/>
      <c r="I21" s="803"/>
      <c r="J21" s="803"/>
      <c r="K21" s="803"/>
      <c r="L21" s="803"/>
      <c r="M21" s="803"/>
      <c r="N21" s="803"/>
      <c r="O21" s="276"/>
    </row>
    <row r="22" spans="1:15" ht="15" thickBot="1" x14ac:dyDescent="0.35">
      <c r="A22" s="828"/>
      <c r="B22" s="829"/>
      <c r="C22" s="829"/>
      <c r="D22" s="829"/>
      <c r="E22" s="829"/>
      <c r="F22" s="829"/>
      <c r="G22" s="829"/>
      <c r="H22" s="829"/>
      <c r="I22" s="829"/>
      <c r="J22" s="829"/>
      <c r="K22" s="829"/>
      <c r="L22" s="829"/>
      <c r="M22" s="829"/>
      <c r="N22" s="829"/>
      <c r="O22" s="298"/>
    </row>
    <row r="23" spans="1:15" x14ac:dyDescent="0.3">
      <c r="A23" s="16"/>
      <c r="B23" s="830"/>
      <c r="C23" s="830"/>
      <c r="D23" s="830"/>
      <c r="E23" s="830"/>
      <c r="F23" s="830"/>
      <c r="G23" s="830"/>
      <c r="H23" s="830"/>
      <c r="I23" s="830"/>
      <c r="J23" s="830"/>
      <c r="K23" s="830"/>
      <c r="L23" s="830"/>
      <c r="M23" s="830"/>
      <c r="N23" s="830"/>
    </row>
    <row r="24" spans="1:15" x14ac:dyDescent="0.3">
      <c r="A24" s="16"/>
      <c r="B24" s="830"/>
      <c r="C24" s="830"/>
      <c r="D24" s="830"/>
      <c r="E24" s="830"/>
      <c r="F24" s="830"/>
      <c r="G24" s="830"/>
      <c r="H24" s="830"/>
      <c r="I24" s="830"/>
      <c r="J24" s="830"/>
      <c r="K24" s="830"/>
      <c r="L24" s="830"/>
      <c r="M24" s="830"/>
      <c r="N24" s="830"/>
    </row>
    <row r="25" spans="1:15" x14ac:dyDescent="0.3">
      <c r="A25" s="88"/>
      <c r="B25" s="830"/>
      <c r="C25" s="830"/>
      <c r="D25" s="830"/>
      <c r="E25" s="830"/>
      <c r="F25" s="830"/>
      <c r="G25" s="830"/>
      <c r="H25" s="830"/>
      <c r="I25" s="830"/>
      <c r="J25" s="830"/>
      <c r="K25" s="830"/>
      <c r="L25" s="830"/>
      <c r="M25" s="830"/>
      <c r="N25" s="830"/>
    </row>
    <row r="26" spans="1:15" x14ac:dyDescent="0.3">
      <c r="A26" s="18"/>
      <c r="B26" s="830"/>
      <c r="C26" s="830"/>
      <c r="D26" s="830"/>
      <c r="E26" s="830"/>
      <c r="F26" s="830"/>
      <c r="G26" s="830"/>
      <c r="H26" s="830"/>
      <c r="I26" s="830"/>
      <c r="J26" s="830"/>
      <c r="K26" s="830"/>
      <c r="L26" s="830"/>
      <c r="M26" s="830"/>
      <c r="N26" s="830"/>
    </row>
    <row r="27" spans="1:15" x14ac:dyDescent="0.3">
      <c r="A27" s="28"/>
      <c r="B27" s="830"/>
      <c r="C27" s="830"/>
      <c r="D27" s="830"/>
      <c r="E27" s="830"/>
      <c r="F27" s="830"/>
      <c r="G27" s="830"/>
      <c r="H27" s="830"/>
      <c r="I27" s="830"/>
      <c r="J27" s="830"/>
      <c r="K27" s="830"/>
      <c r="L27" s="830"/>
      <c r="M27" s="830"/>
      <c r="N27" s="830"/>
    </row>
    <row r="28" spans="1:15" x14ac:dyDescent="0.3">
      <c r="A28" s="16"/>
      <c r="B28" s="830"/>
      <c r="C28" s="830"/>
      <c r="D28" s="830"/>
      <c r="E28" s="830"/>
      <c r="F28" s="830"/>
      <c r="G28" s="830"/>
      <c r="H28" s="830"/>
      <c r="I28" s="830"/>
      <c r="J28" s="830"/>
      <c r="K28" s="830"/>
      <c r="L28" s="830"/>
      <c r="M28" s="830"/>
      <c r="N28" s="830"/>
    </row>
    <row r="29" spans="1:15" x14ac:dyDescent="0.3">
      <c r="A29" s="16"/>
      <c r="B29" s="830"/>
      <c r="C29" s="830"/>
      <c r="D29" s="830"/>
      <c r="E29" s="830"/>
      <c r="F29" s="830"/>
      <c r="G29" s="830"/>
      <c r="H29" s="830"/>
      <c r="I29" s="830"/>
      <c r="J29" s="830"/>
      <c r="K29" s="830"/>
      <c r="L29" s="830"/>
      <c r="M29" s="830"/>
      <c r="N29" s="830"/>
    </row>
    <row r="30" spans="1:15" x14ac:dyDescent="0.3">
      <c r="A30" s="830"/>
      <c r="B30" s="830"/>
      <c r="C30" s="830"/>
      <c r="D30" s="830"/>
      <c r="E30" s="830"/>
      <c r="F30" s="830"/>
      <c r="G30" s="830"/>
      <c r="H30" s="830"/>
      <c r="I30" s="830"/>
      <c r="J30" s="830"/>
      <c r="K30" s="830"/>
      <c r="L30" s="830"/>
      <c r="M30" s="830"/>
      <c r="N30" s="830"/>
    </row>
    <row r="31" spans="1:15" x14ac:dyDescent="0.3">
      <c r="A31" s="830"/>
      <c r="B31" s="830"/>
      <c r="C31" s="830"/>
      <c r="D31" s="830"/>
      <c r="E31" s="830"/>
      <c r="F31" s="830"/>
      <c r="G31" s="830"/>
      <c r="H31" s="830"/>
      <c r="I31" s="830"/>
      <c r="J31" s="830"/>
      <c r="K31" s="830"/>
      <c r="L31" s="830"/>
      <c r="M31" s="830"/>
      <c r="N31" s="830"/>
    </row>
    <row r="32" spans="1:15" x14ac:dyDescent="0.3">
      <c r="A32" s="830"/>
      <c r="B32" s="830"/>
      <c r="C32" s="830"/>
      <c r="D32" s="830"/>
      <c r="E32" s="830"/>
      <c r="F32" s="830"/>
      <c r="G32" s="830"/>
      <c r="H32" s="830"/>
      <c r="I32" s="830"/>
      <c r="J32" s="830"/>
      <c r="K32" s="830"/>
      <c r="L32" s="830"/>
      <c r="M32" s="830"/>
      <c r="N32" s="830"/>
    </row>
    <row r="33" spans="1:14" x14ac:dyDescent="0.3">
      <c r="A33" s="830"/>
      <c r="B33" s="830"/>
      <c r="C33" s="830"/>
      <c r="D33" s="830"/>
      <c r="E33" s="830"/>
      <c r="F33" s="830"/>
      <c r="G33" s="830"/>
      <c r="H33" s="830"/>
      <c r="I33" s="830"/>
      <c r="J33" s="830"/>
      <c r="K33" s="830"/>
      <c r="L33" s="830"/>
      <c r="M33" s="830"/>
      <c r="N33" s="830"/>
    </row>
    <row r="34" spans="1:14" x14ac:dyDescent="0.3">
      <c r="A34" s="830"/>
      <c r="B34" s="830"/>
      <c r="C34" s="830"/>
      <c r="D34" s="830"/>
      <c r="E34" s="830"/>
      <c r="F34" s="830"/>
      <c r="G34" s="830"/>
      <c r="H34" s="830"/>
      <c r="I34" s="830"/>
      <c r="J34" s="830"/>
      <c r="K34" s="830"/>
      <c r="L34" s="830"/>
      <c r="M34" s="830"/>
      <c r="N34" s="830"/>
    </row>
    <row r="35" spans="1:14" x14ac:dyDescent="0.3">
      <c r="A35" s="830"/>
      <c r="B35" s="830"/>
      <c r="C35" s="830"/>
      <c r="D35" s="830"/>
      <c r="E35" s="830"/>
      <c r="F35" s="830"/>
      <c r="G35" s="830"/>
      <c r="H35" s="830"/>
      <c r="I35" s="830"/>
      <c r="J35" s="830"/>
      <c r="K35" s="830"/>
      <c r="L35" s="830"/>
      <c r="M35" s="830"/>
      <c r="N35" s="830"/>
    </row>
    <row r="36" spans="1:14" x14ac:dyDescent="0.3">
      <c r="A36" s="830"/>
      <c r="B36" s="830"/>
      <c r="C36" s="830"/>
      <c r="D36" s="830"/>
      <c r="E36" s="830"/>
      <c r="F36" s="830"/>
      <c r="G36" s="830"/>
      <c r="H36" s="830"/>
      <c r="I36" s="830"/>
      <c r="J36" s="830"/>
      <c r="K36" s="830"/>
      <c r="L36" s="830"/>
      <c r="M36" s="830"/>
      <c r="N36" s="830"/>
    </row>
    <row r="37" spans="1:14" x14ac:dyDescent="0.3">
      <c r="A37" s="830"/>
      <c r="B37" s="830"/>
      <c r="C37" s="830"/>
      <c r="D37" s="830"/>
      <c r="E37" s="830"/>
      <c r="F37" s="830"/>
      <c r="G37" s="830"/>
      <c r="H37" s="830"/>
      <c r="I37" s="830"/>
      <c r="J37" s="830"/>
      <c r="K37" s="830"/>
      <c r="L37" s="830"/>
      <c r="M37" s="830"/>
      <c r="N37" s="830"/>
    </row>
    <row r="38" spans="1:14" x14ac:dyDescent="0.3">
      <c r="A38" s="830"/>
      <c r="B38" s="830"/>
      <c r="C38" s="830"/>
      <c r="D38" s="830"/>
      <c r="E38" s="830"/>
      <c r="F38" s="830"/>
      <c r="G38" s="830"/>
      <c r="H38" s="830"/>
      <c r="I38" s="830"/>
      <c r="J38" s="830"/>
      <c r="K38" s="830"/>
      <c r="L38" s="830"/>
      <c r="M38" s="830"/>
      <c r="N38" s="830"/>
    </row>
    <row r="39" spans="1:14" x14ac:dyDescent="0.3">
      <c r="A39" s="830"/>
      <c r="B39" s="830"/>
      <c r="C39" s="830"/>
      <c r="D39" s="830"/>
      <c r="E39" s="830"/>
      <c r="F39" s="830"/>
      <c r="G39" s="830"/>
      <c r="H39" s="830"/>
      <c r="I39" s="830"/>
      <c r="J39" s="830"/>
      <c r="K39" s="830"/>
      <c r="L39" s="830"/>
      <c r="M39" s="830"/>
      <c r="N39" s="830"/>
    </row>
    <row r="40" spans="1:14" x14ac:dyDescent="0.3">
      <c r="A40" s="830"/>
      <c r="B40" s="830"/>
      <c r="C40" s="830"/>
      <c r="D40" s="830"/>
      <c r="E40" s="830"/>
      <c r="F40" s="830"/>
      <c r="G40" s="830"/>
      <c r="H40" s="830"/>
      <c r="I40" s="830"/>
      <c r="J40" s="830"/>
      <c r="K40" s="830"/>
      <c r="L40" s="830"/>
      <c r="M40" s="830"/>
      <c r="N40" s="830"/>
    </row>
    <row r="41" spans="1:14" x14ac:dyDescent="0.3">
      <c r="A41" s="830"/>
      <c r="B41" s="830"/>
      <c r="C41" s="830"/>
      <c r="D41" s="830"/>
      <c r="E41" s="830"/>
      <c r="F41" s="830"/>
      <c r="G41" s="830"/>
      <c r="H41" s="830"/>
      <c r="I41" s="830"/>
      <c r="J41" s="830"/>
      <c r="K41" s="830"/>
      <c r="L41" s="830"/>
      <c r="M41" s="830"/>
      <c r="N41" s="830"/>
    </row>
    <row r="42" spans="1:14" x14ac:dyDescent="0.3">
      <c r="A42" s="830"/>
      <c r="B42" s="830"/>
      <c r="C42" s="830"/>
      <c r="D42" s="830"/>
      <c r="E42" s="830"/>
      <c r="F42" s="830"/>
      <c r="G42" s="830"/>
      <c r="H42" s="830"/>
      <c r="I42" s="830"/>
      <c r="J42" s="830"/>
      <c r="K42" s="830"/>
      <c r="L42" s="830"/>
      <c r="M42" s="830"/>
      <c r="N42" s="830"/>
    </row>
    <row r="43" spans="1:14" x14ac:dyDescent="0.3">
      <c r="A43" s="830"/>
      <c r="B43" s="830"/>
      <c r="C43" s="830"/>
      <c r="D43" s="830"/>
      <c r="E43" s="830"/>
      <c r="F43" s="830"/>
      <c r="G43" s="830"/>
      <c r="H43" s="830"/>
      <c r="I43" s="830"/>
      <c r="J43" s="830"/>
      <c r="K43" s="830"/>
      <c r="L43" s="830"/>
      <c r="M43" s="830"/>
      <c r="N43" s="830"/>
    </row>
    <row r="44" spans="1:14" x14ac:dyDescent="0.3">
      <c r="A44" s="830"/>
      <c r="B44" s="830"/>
      <c r="C44" s="830"/>
      <c r="D44" s="830"/>
      <c r="E44" s="830"/>
      <c r="F44" s="830"/>
      <c r="G44" s="830"/>
      <c r="H44" s="830"/>
      <c r="I44" s="830"/>
      <c r="J44" s="830"/>
      <c r="K44" s="830"/>
      <c r="L44" s="830"/>
      <c r="M44" s="830"/>
      <c r="N44" s="830"/>
    </row>
    <row r="45" spans="1:14" x14ac:dyDescent="0.3">
      <c r="A45" s="830"/>
      <c r="B45" s="830"/>
      <c r="C45" s="830"/>
      <c r="D45" s="830"/>
      <c r="E45" s="830"/>
      <c r="F45" s="830"/>
      <c r="G45" s="830"/>
      <c r="H45" s="830"/>
      <c r="I45" s="830"/>
      <c r="J45" s="830"/>
      <c r="K45" s="830"/>
      <c r="L45" s="830"/>
      <c r="M45" s="830"/>
      <c r="N45" s="830"/>
    </row>
    <row r="46" spans="1:14" x14ac:dyDescent="0.3">
      <c r="A46" s="830"/>
      <c r="B46" s="830"/>
      <c r="C46" s="830"/>
      <c r="D46" s="830"/>
      <c r="E46" s="830"/>
      <c r="F46" s="830"/>
      <c r="G46" s="830"/>
      <c r="H46" s="830"/>
      <c r="I46" s="830"/>
      <c r="J46" s="830"/>
      <c r="K46" s="830"/>
      <c r="L46" s="830"/>
      <c r="M46" s="830"/>
      <c r="N46" s="830"/>
    </row>
    <row r="47" spans="1:14" x14ac:dyDescent="0.3">
      <c r="A47" s="830"/>
      <c r="B47" s="830"/>
      <c r="C47" s="830"/>
      <c r="D47" s="830"/>
      <c r="E47" s="830"/>
      <c r="F47" s="830"/>
      <c r="G47" s="830"/>
      <c r="H47" s="830"/>
      <c r="I47" s="830"/>
      <c r="J47" s="830"/>
      <c r="K47" s="830"/>
      <c r="L47" s="830"/>
      <c r="M47" s="830"/>
      <c r="N47" s="830"/>
    </row>
    <row r="48" spans="1:14" x14ac:dyDescent="0.3">
      <c r="A48" s="830"/>
      <c r="B48" s="830"/>
      <c r="C48" s="830"/>
      <c r="D48" s="830"/>
      <c r="E48" s="830"/>
      <c r="F48" s="830"/>
      <c r="G48" s="830"/>
      <c r="H48" s="830"/>
      <c r="I48" s="830"/>
      <c r="J48" s="830"/>
      <c r="K48" s="830"/>
      <c r="L48" s="830"/>
      <c r="M48" s="830"/>
      <c r="N48" s="830"/>
    </row>
    <row r="49" spans="1:14" x14ac:dyDescent="0.3">
      <c r="A49" s="830"/>
      <c r="B49" s="830"/>
      <c r="C49" s="830"/>
      <c r="D49" s="830"/>
      <c r="E49" s="830"/>
      <c r="F49" s="830"/>
      <c r="G49" s="830"/>
      <c r="H49" s="830"/>
      <c r="I49" s="830"/>
      <c r="J49" s="830"/>
      <c r="K49" s="830"/>
      <c r="L49" s="830"/>
      <c r="M49" s="830"/>
      <c r="N49" s="830"/>
    </row>
    <row r="50" spans="1:14" x14ac:dyDescent="0.3">
      <c r="A50" s="830"/>
      <c r="B50" s="830"/>
      <c r="C50" s="830"/>
      <c r="D50" s="830"/>
      <c r="E50" s="830"/>
      <c r="F50" s="830"/>
      <c r="G50" s="830"/>
      <c r="H50" s="830"/>
      <c r="I50" s="830"/>
      <c r="J50" s="830"/>
      <c r="K50" s="830"/>
      <c r="L50" s="830"/>
      <c r="M50" s="830"/>
      <c r="N50" s="830"/>
    </row>
    <row r="51" spans="1:14" x14ac:dyDescent="0.3">
      <c r="A51" s="830"/>
      <c r="B51" s="830"/>
      <c r="C51" s="830"/>
      <c r="D51" s="830"/>
      <c r="E51" s="830"/>
      <c r="F51" s="830"/>
      <c r="G51" s="830"/>
      <c r="H51" s="830"/>
      <c r="I51" s="830"/>
      <c r="J51" s="830"/>
      <c r="K51" s="830"/>
      <c r="L51" s="830"/>
      <c r="M51" s="830"/>
      <c r="N51" s="830"/>
    </row>
    <row r="52" spans="1:14" x14ac:dyDescent="0.3">
      <c r="A52" s="830"/>
      <c r="B52" s="830"/>
      <c r="C52" s="830"/>
      <c r="D52" s="830"/>
      <c r="E52" s="830"/>
      <c r="F52" s="830"/>
      <c r="G52" s="830"/>
      <c r="H52" s="830"/>
      <c r="I52" s="830"/>
      <c r="J52" s="830"/>
      <c r="K52" s="830"/>
      <c r="L52" s="830"/>
      <c r="M52" s="830"/>
      <c r="N52" s="830"/>
    </row>
    <row r="53" spans="1:14" x14ac:dyDescent="0.3">
      <c r="A53" s="830"/>
      <c r="B53" s="830"/>
      <c r="C53" s="830"/>
      <c r="D53" s="830"/>
      <c r="E53" s="830"/>
      <c r="F53" s="830"/>
      <c r="G53" s="830"/>
      <c r="H53" s="830"/>
      <c r="I53" s="830"/>
      <c r="J53" s="830"/>
      <c r="K53" s="830"/>
      <c r="L53" s="830"/>
      <c r="M53" s="830"/>
      <c r="N53" s="830"/>
    </row>
    <row r="54" spans="1:14" x14ac:dyDescent="0.3">
      <c r="A54" s="830"/>
      <c r="B54" s="830"/>
      <c r="C54" s="830"/>
      <c r="D54" s="830"/>
      <c r="E54" s="830"/>
      <c r="F54" s="830"/>
      <c r="G54" s="830"/>
      <c r="H54" s="830"/>
      <c r="I54" s="830"/>
      <c r="J54" s="830"/>
      <c r="K54" s="830"/>
      <c r="L54" s="830"/>
      <c r="M54" s="830"/>
      <c r="N54" s="830"/>
    </row>
    <row r="55" spans="1:14" x14ac:dyDescent="0.3">
      <c r="A55" s="830"/>
      <c r="B55" s="830"/>
      <c r="C55" s="830"/>
      <c r="D55" s="830"/>
      <c r="E55" s="830"/>
      <c r="F55" s="830"/>
      <c r="G55" s="830"/>
      <c r="H55" s="830"/>
      <c r="I55" s="830"/>
      <c r="J55" s="830"/>
      <c r="K55" s="830"/>
      <c r="L55" s="830"/>
      <c r="M55" s="830"/>
      <c r="N55" s="830"/>
    </row>
    <row r="56" spans="1:14" x14ac:dyDescent="0.3">
      <c r="A56" s="830"/>
      <c r="B56" s="830"/>
      <c r="C56" s="830"/>
      <c r="D56" s="830"/>
      <c r="E56" s="830"/>
      <c r="F56" s="830"/>
      <c r="G56" s="830"/>
      <c r="H56" s="830"/>
      <c r="I56" s="830"/>
      <c r="J56" s="830"/>
      <c r="K56" s="830"/>
      <c r="L56" s="830"/>
      <c r="M56" s="830"/>
      <c r="N56" s="830"/>
    </row>
    <row r="57" spans="1:14" x14ac:dyDescent="0.3">
      <c r="A57" s="830"/>
      <c r="B57" s="830"/>
      <c r="C57" s="830"/>
      <c r="D57" s="830"/>
      <c r="E57" s="830"/>
      <c r="F57" s="830"/>
      <c r="G57" s="830"/>
      <c r="H57" s="830"/>
      <c r="I57" s="830"/>
      <c r="J57" s="830"/>
      <c r="K57" s="830"/>
      <c r="L57" s="830"/>
      <c r="M57" s="830"/>
      <c r="N57" s="830"/>
    </row>
    <row r="58" spans="1:14" x14ac:dyDescent="0.3">
      <c r="A58" s="830"/>
      <c r="B58" s="830"/>
      <c r="C58" s="830"/>
      <c r="D58" s="830"/>
      <c r="E58" s="830"/>
      <c r="F58" s="830"/>
      <c r="G58" s="830"/>
      <c r="H58" s="830"/>
      <c r="I58" s="830"/>
      <c r="J58" s="830"/>
      <c r="K58" s="830"/>
      <c r="L58" s="830"/>
      <c r="M58" s="830"/>
      <c r="N58" s="830"/>
    </row>
    <row r="59" spans="1:14" x14ac:dyDescent="0.3">
      <c r="A59" s="830"/>
      <c r="B59" s="830"/>
      <c r="C59" s="830"/>
      <c r="D59" s="830"/>
      <c r="E59" s="830"/>
      <c r="F59" s="830"/>
      <c r="G59" s="830"/>
      <c r="H59" s="830"/>
      <c r="I59" s="830"/>
      <c r="J59" s="830"/>
      <c r="K59" s="830"/>
      <c r="L59" s="830"/>
      <c r="M59" s="830"/>
      <c r="N59" s="830"/>
    </row>
    <row r="60" spans="1:14" x14ac:dyDescent="0.3">
      <c r="A60" s="830"/>
      <c r="B60" s="830"/>
      <c r="C60" s="830"/>
      <c r="D60" s="830"/>
      <c r="E60" s="830"/>
      <c r="F60" s="830"/>
      <c r="G60" s="830"/>
      <c r="H60" s="830"/>
      <c r="I60" s="830"/>
      <c r="J60" s="830"/>
      <c r="K60" s="830"/>
      <c r="L60" s="830"/>
      <c r="M60" s="830"/>
      <c r="N60" s="830"/>
    </row>
    <row r="61" spans="1:14" x14ac:dyDescent="0.3">
      <c r="A61" s="830"/>
      <c r="B61" s="830"/>
      <c r="C61" s="830"/>
      <c r="D61" s="830"/>
      <c r="E61" s="830"/>
      <c r="F61" s="830"/>
      <c r="G61" s="830"/>
      <c r="H61" s="830"/>
      <c r="I61" s="830"/>
      <c r="J61" s="830"/>
      <c r="K61" s="830"/>
      <c r="L61" s="830"/>
      <c r="M61" s="830"/>
      <c r="N61" s="830"/>
    </row>
    <row r="62" spans="1:14" x14ac:dyDescent="0.3">
      <c r="A62" s="830"/>
      <c r="B62" s="830"/>
      <c r="C62" s="830"/>
      <c r="D62" s="830"/>
      <c r="E62" s="830"/>
      <c r="F62" s="830"/>
      <c r="G62" s="830"/>
      <c r="H62" s="830"/>
      <c r="I62" s="830"/>
      <c r="J62" s="830"/>
      <c r="K62" s="830"/>
      <c r="L62" s="830"/>
      <c r="M62" s="830"/>
      <c r="N62" s="830"/>
    </row>
    <row r="63" spans="1:14" x14ac:dyDescent="0.3">
      <c r="A63" s="830"/>
      <c r="B63" s="830"/>
      <c r="C63" s="830"/>
      <c r="D63" s="830"/>
      <c r="E63" s="830"/>
      <c r="F63" s="830"/>
      <c r="G63" s="830"/>
      <c r="H63" s="830"/>
      <c r="I63" s="830"/>
      <c r="J63" s="830"/>
      <c r="K63" s="830"/>
      <c r="L63" s="830"/>
      <c r="M63" s="830"/>
      <c r="N63" s="830"/>
    </row>
    <row r="64" spans="1:14" x14ac:dyDescent="0.3">
      <c r="A64" s="830"/>
      <c r="B64" s="830"/>
      <c r="C64" s="830"/>
      <c r="D64" s="830"/>
      <c r="E64" s="830"/>
      <c r="F64" s="830"/>
      <c r="G64" s="830"/>
      <c r="H64" s="830"/>
      <c r="I64" s="830"/>
      <c r="J64" s="830"/>
      <c r="K64" s="830"/>
      <c r="L64" s="830"/>
      <c r="M64" s="830"/>
      <c r="N64" s="830"/>
    </row>
    <row r="65" spans="1:14" x14ac:dyDescent="0.3">
      <c r="A65" s="830"/>
      <c r="B65" s="830"/>
      <c r="C65" s="830"/>
      <c r="D65" s="830"/>
      <c r="E65" s="830"/>
      <c r="F65" s="830"/>
      <c r="G65" s="830"/>
      <c r="H65" s="830"/>
      <c r="I65" s="830"/>
      <c r="J65" s="830"/>
      <c r="K65" s="830"/>
      <c r="L65" s="830"/>
      <c r="M65" s="830"/>
      <c r="N65" s="830"/>
    </row>
    <row r="66" spans="1:14" x14ac:dyDescent="0.3">
      <c r="A66" s="830"/>
      <c r="B66" s="830"/>
      <c r="C66" s="830"/>
      <c r="D66" s="830"/>
      <c r="E66" s="830"/>
      <c r="F66" s="830"/>
      <c r="G66" s="830"/>
      <c r="H66" s="830"/>
      <c r="I66" s="830"/>
      <c r="J66" s="830"/>
      <c r="K66" s="830"/>
      <c r="L66" s="830"/>
      <c r="M66" s="830"/>
      <c r="N66" s="830"/>
    </row>
    <row r="67" spans="1:14" x14ac:dyDescent="0.3">
      <c r="A67" s="830"/>
      <c r="B67" s="830"/>
      <c r="C67" s="830"/>
      <c r="D67" s="830"/>
      <c r="E67" s="830"/>
      <c r="F67" s="830"/>
      <c r="G67" s="830"/>
      <c r="H67" s="830"/>
      <c r="I67" s="830"/>
      <c r="J67" s="830"/>
      <c r="K67" s="830"/>
      <c r="L67" s="830"/>
      <c r="M67" s="830"/>
      <c r="N67" s="830"/>
    </row>
    <row r="68" spans="1:14" x14ac:dyDescent="0.3">
      <c r="A68" s="830"/>
      <c r="B68" s="830"/>
      <c r="C68" s="830"/>
      <c r="D68" s="830"/>
      <c r="E68" s="830"/>
      <c r="F68" s="830"/>
      <c r="G68" s="830"/>
      <c r="H68" s="830"/>
      <c r="I68" s="830"/>
      <c r="J68" s="830"/>
      <c r="K68" s="830"/>
      <c r="L68" s="830"/>
      <c r="M68" s="830"/>
      <c r="N68" s="830"/>
    </row>
    <row r="69" spans="1:14" x14ac:dyDescent="0.3">
      <c r="A69" s="830"/>
      <c r="B69" s="830"/>
      <c r="C69" s="830"/>
      <c r="D69" s="830"/>
      <c r="E69" s="830"/>
      <c r="F69" s="830"/>
      <c r="G69" s="830"/>
      <c r="H69" s="830"/>
      <c r="I69" s="830"/>
      <c r="J69" s="830"/>
      <c r="K69" s="830"/>
      <c r="L69" s="830"/>
      <c r="M69" s="830"/>
      <c r="N69" s="830"/>
    </row>
    <row r="70" spans="1:14" x14ac:dyDescent="0.3">
      <c r="A70" s="830"/>
      <c r="B70" s="830"/>
      <c r="C70" s="830"/>
      <c r="D70" s="830"/>
      <c r="E70" s="830"/>
      <c r="F70" s="830"/>
      <c r="G70" s="830"/>
      <c r="H70" s="830"/>
      <c r="I70" s="830"/>
      <c r="J70" s="830"/>
      <c r="K70" s="830"/>
      <c r="L70" s="830"/>
      <c r="M70" s="830"/>
      <c r="N70" s="830"/>
    </row>
    <row r="71" spans="1:14" x14ac:dyDescent="0.3">
      <c r="A71" s="830"/>
      <c r="B71" s="830"/>
      <c r="C71" s="830"/>
      <c r="D71" s="830"/>
      <c r="E71" s="830"/>
      <c r="F71" s="830"/>
      <c r="G71" s="830"/>
      <c r="H71" s="830"/>
      <c r="I71" s="830"/>
      <c r="J71" s="830"/>
      <c r="K71" s="830"/>
      <c r="L71" s="830"/>
      <c r="M71" s="830"/>
      <c r="N71" s="830"/>
    </row>
    <row r="72" spans="1:14" x14ac:dyDescent="0.3">
      <c r="A72" s="830"/>
      <c r="B72" s="830"/>
      <c r="C72" s="830"/>
      <c r="D72" s="830"/>
      <c r="E72" s="830"/>
      <c r="F72" s="830"/>
      <c r="G72" s="830"/>
      <c r="H72" s="830"/>
      <c r="I72" s="830"/>
      <c r="J72" s="830"/>
      <c r="K72" s="830"/>
      <c r="L72" s="830"/>
      <c r="M72" s="830"/>
      <c r="N72" s="830"/>
    </row>
    <row r="73" spans="1:14" x14ac:dyDescent="0.3">
      <c r="A73" s="830"/>
      <c r="B73" s="830"/>
      <c r="C73" s="830"/>
      <c r="D73" s="830"/>
      <c r="E73" s="830"/>
      <c r="F73" s="830"/>
      <c r="G73" s="830"/>
      <c r="H73" s="830"/>
      <c r="I73" s="830"/>
      <c r="J73" s="830"/>
      <c r="K73" s="830"/>
      <c r="L73" s="830"/>
      <c r="M73" s="830"/>
      <c r="N73" s="830"/>
    </row>
    <row r="74" spans="1:14" x14ac:dyDescent="0.3">
      <c r="A74" s="830"/>
      <c r="B74" s="830"/>
      <c r="C74" s="830"/>
      <c r="D74" s="830"/>
      <c r="E74" s="830"/>
      <c r="F74" s="830"/>
      <c r="G74" s="830"/>
      <c r="H74" s="830"/>
      <c r="I74" s="830"/>
      <c r="J74" s="830"/>
      <c r="K74" s="830"/>
      <c r="L74" s="830"/>
      <c r="M74" s="830"/>
      <c r="N74" s="830"/>
    </row>
    <row r="75" spans="1:14" x14ac:dyDescent="0.3">
      <c r="A75" s="830"/>
      <c r="B75" s="830"/>
      <c r="C75" s="830"/>
      <c r="D75" s="830"/>
      <c r="E75" s="830"/>
      <c r="F75" s="830"/>
      <c r="G75" s="830"/>
      <c r="H75" s="830"/>
      <c r="I75" s="830"/>
      <c r="J75" s="830"/>
      <c r="K75" s="830"/>
      <c r="L75" s="830"/>
      <c r="M75" s="830"/>
      <c r="N75" s="830"/>
    </row>
    <row r="76" spans="1:14" x14ac:dyDescent="0.3">
      <c r="A76" s="830"/>
      <c r="B76" s="830"/>
      <c r="C76" s="830"/>
      <c r="D76" s="830"/>
      <c r="E76" s="830"/>
      <c r="F76" s="830"/>
      <c r="G76" s="830"/>
      <c r="H76" s="830"/>
      <c r="I76" s="830"/>
      <c r="J76" s="830"/>
      <c r="K76" s="830"/>
      <c r="L76" s="830"/>
      <c r="M76" s="830"/>
      <c r="N76" s="830"/>
    </row>
    <row r="77" spans="1:14" x14ac:dyDescent="0.3">
      <c r="A77" s="830"/>
      <c r="B77" s="830"/>
      <c r="C77" s="830"/>
      <c r="D77" s="830"/>
      <c r="E77" s="830"/>
      <c r="F77" s="830"/>
      <c r="G77" s="830"/>
      <c r="H77" s="830"/>
      <c r="I77" s="830"/>
      <c r="J77" s="830"/>
      <c r="K77" s="830"/>
      <c r="L77" s="830"/>
      <c r="M77" s="830"/>
      <c r="N77" s="830"/>
    </row>
    <row r="78" spans="1:14" x14ac:dyDescent="0.3">
      <c r="A78" s="830"/>
      <c r="B78" s="830"/>
      <c r="C78" s="830"/>
      <c r="D78" s="830"/>
      <c r="E78" s="830"/>
      <c r="F78" s="830"/>
      <c r="G78" s="830"/>
      <c r="H78" s="830"/>
      <c r="I78" s="830"/>
      <c r="J78" s="830"/>
      <c r="K78" s="830"/>
      <c r="L78" s="830"/>
      <c r="M78" s="830"/>
      <c r="N78" s="830"/>
    </row>
    <row r="79" spans="1:14" x14ac:dyDescent="0.3">
      <c r="A79" s="830"/>
      <c r="B79" s="830"/>
      <c r="C79" s="830"/>
      <c r="D79" s="830"/>
      <c r="E79" s="830"/>
      <c r="F79" s="830"/>
      <c r="G79" s="830"/>
      <c r="H79" s="830"/>
      <c r="I79" s="830"/>
      <c r="J79" s="830"/>
      <c r="K79" s="830"/>
      <c r="L79" s="830"/>
      <c r="M79" s="830"/>
      <c r="N79" s="830"/>
    </row>
    <row r="80" spans="1:14" x14ac:dyDescent="0.3">
      <c r="A80" s="830"/>
      <c r="B80" s="830"/>
      <c r="C80" s="830"/>
      <c r="D80" s="830"/>
      <c r="E80" s="830"/>
      <c r="F80" s="830"/>
      <c r="G80" s="830"/>
      <c r="H80" s="830"/>
      <c r="I80" s="830"/>
      <c r="J80" s="830"/>
      <c r="K80" s="830"/>
      <c r="L80" s="830"/>
      <c r="M80" s="830"/>
      <c r="N80" s="830"/>
    </row>
    <row r="81" spans="1:14" x14ac:dyDescent="0.3">
      <c r="A81" s="830"/>
      <c r="B81" s="830"/>
      <c r="C81" s="830"/>
      <c r="D81" s="830"/>
      <c r="E81" s="830"/>
      <c r="F81" s="830"/>
      <c r="G81" s="830"/>
      <c r="H81" s="830"/>
      <c r="I81" s="830"/>
      <c r="J81" s="830"/>
      <c r="K81" s="830"/>
      <c r="L81" s="830"/>
      <c r="M81" s="830"/>
      <c r="N81" s="830"/>
    </row>
    <row r="82" spans="1:14" x14ac:dyDescent="0.3">
      <c r="A82" s="830"/>
      <c r="B82" s="830"/>
      <c r="C82" s="830"/>
      <c r="D82" s="830"/>
      <c r="E82" s="830"/>
      <c r="F82" s="830"/>
      <c r="G82" s="830"/>
      <c r="H82" s="830"/>
      <c r="I82" s="830"/>
      <c r="J82" s="830"/>
      <c r="K82" s="830"/>
      <c r="L82" s="830"/>
      <c r="M82" s="830"/>
      <c r="N82" s="830"/>
    </row>
    <row r="83" spans="1:14" x14ac:dyDescent="0.3">
      <c r="A83" s="830"/>
      <c r="B83" s="830"/>
      <c r="C83" s="830"/>
      <c r="D83" s="830"/>
      <c r="E83" s="830"/>
      <c r="F83" s="830"/>
      <c r="G83" s="830"/>
      <c r="H83" s="830"/>
      <c r="I83" s="830"/>
      <c r="J83" s="830"/>
      <c r="K83" s="830"/>
      <c r="L83" s="830"/>
      <c r="M83" s="830"/>
      <c r="N83" s="830"/>
    </row>
    <row r="84" spans="1:14" x14ac:dyDescent="0.3">
      <c r="A84" s="830"/>
      <c r="B84" s="830"/>
      <c r="C84" s="830"/>
      <c r="D84" s="830"/>
      <c r="E84" s="830"/>
      <c r="F84" s="830"/>
      <c r="G84" s="830"/>
      <c r="H84" s="830"/>
      <c r="I84" s="830"/>
      <c r="J84" s="830"/>
      <c r="K84" s="830"/>
      <c r="L84" s="830"/>
      <c r="M84" s="830"/>
      <c r="N84" s="830"/>
    </row>
    <row r="85" spans="1:14" x14ac:dyDescent="0.3">
      <c r="A85" s="830"/>
      <c r="B85" s="830"/>
      <c r="C85" s="830"/>
      <c r="D85" s="830"/>
      <c r="E85" s="830"/>
      <c r="F85" s="830"/>
      <c r="G85" s="830"/>
      <c r="H85" s="830"/>
      <c r="I85" s="830"/>
      <c r="J85" s="830"/>
      <c r="K85" s="830"/>
      <c r="L85" s="830"/>
      <c r="M85" s="830"/>
      <c r="N85" s="830"/>
    </row>
    <row r="86" spans="1:14" x14ac:dyDescent="0.3">
      <c r="A86" s="830"/>
      <c r="B86" s="830"/>
      <c r="C86" s="830"/>
      <c r="D86" s="830"/>
      <c r="E86" s="830"/>
      <c r="F86" s="830"/>
      <c r="G86" s="830"/>
      <c r="H86" s="830"/>
      <c r="I86" s="830"/>
      <c r="J86" s="830"/>
      <c r="K86" s="830"/>
      <c r="L86" s="830"/>
      <c r="M86" s="830"/>
      <c r="N86" s="830"/>
    </row>
    <row r="87" spans="1:14" x14ac:dyDescent="0.3">
      <c r="A87" s="830"/>
      <c r="B87" s="830"/>
      <c r="C87" s="830"/>
      <c r="D87" s="830"/>
      <c r="E87" s="830"/>
      <c r="F87" s="830"/>
      <c r="G87" s="830"/>
      <c r="H87" s="830"/>
      <c r="I87" s="830"/>
      <c r="J87" s="830"/>
      <c r="K87" s="830"/>
      <c r="L87" s="830"/>
      <c r="M87" s="830"/>
      <c r="N87" s="830"/>
    </row>
    <row r="88" spans="1:14" x14ac:dyDescent="0.3">
      <c r="A88" s="830"/>
      <c r="B88" s="830"/>
      <c r="C88" s="830"/>
      <c r="D88" s="830"/>
      <c r="E88" s="830"/>
      <c r="F88" s="830"/>
      <c r="G88" s="830"/>
      <c r="H88" s="830"/>
      <c r="I88" s="830"/>
      <c r="J88" s="830"/>
      <c r="K88" s="830"/>
      <c r="L88" s="830"/>
      <c r="M88" s="830"/>
      <c r="N88" s="830"/>
    </row>
    <row r="89" spans="1:14" x14ac:dyDescent="0.3">
      <c r="A89" s="830"/>
      <c r="B89" s="830"/>
      <c r="C89" s="830"/>
      <c r="D89" s="830"/>
      <c r="E89" s="830"/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4" x14ac:dyDescent="0.3">
      <c r="A90" s="830"/>
      <c r="B90" s="830"/>
      <c r="C90" s="830"/>
      <c r="D90" s="830"/>
      <c r="E90" s="830"/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4" x14ac:dyDescent="0.3">
      <c r="A91" s="830"/>
      <c r="B91" s="830"/>
      <c r="C91" s="830"/>
      <c r="D91" s="830"/>
      <c r="E91" s="830"/>
      <c r="F91" s="830"/>
      <c r="G91" s="830"/>
      <c r="H91" s="830"/>
      <c r="I91" s="830"/>
      <c r="J91" s="830"/>
      <c r="K91" s="830"/>
      <c r="L91" s="830"/>
      <c r="M91" s="830"/>
      <c r="N91" s="830"/>
    </row>
    <row r="92" spans="1:14" x14ac:dyDescent="0.3">
      <c r="A92" s="830"/>
      <c r="B92" s="830"/>
      <c r="C92" s="830"/>
      <c r="D92" s="830"/>
      <c r="E92" s="830"/>
      <c r="F92" s="830"/>
      <c r="G92" s="830"/>
      <c r="H92" s="830"/>
      <c r="I92" s="830"/>
      <c r="J92" s="830"/>
      <c r="K92" s="830"/>
      <c r="L92" s="830"/>
      <c r="M92" s="830"/>
      <c r="N92" s="830"/>
    </row>
    <row r="93" spans="1:14" x14ac:dyDescent="0.3">
      <c r="A93" s="830"/>
      <c r="B93" s="830"/>
      <c r="C93" s="830"/>
      <c r="D93" s="830"/>
      <c r="E93" s="830"/>
      <c r="F93" s="830"/>
      <c r="G93" s="830"/>
      <c r="H93" s="830"/>
      <c r="I93" s="830"/>
      <c r="J93" s="830"/>
      <c r="K93" s="830"/>
      <c r="L93" s="830"/>
      <c r="M93" s="830"/>
      <c r="N93" s="830"/>
    </row>
    <row r="94" spans="1:14" x14ac:dyDescent="0.3">
      <c r="A94" s="830"/>
      <c r="B94" s="830"/>
      <c r="C94" s="830"/>
      <c r="D94" s="830"/>
      <c r="E94" s="830"/>
      <c r="F94" s="830"/>
      <c r="G94" s="830"/>
      <c r="H94" s="830"/>
      <c r="I94" s="830"/>
      <c r="J94" s="830"/>
      <c r="K94" s="830"/>
      <c r="L94" s="830"/>
      <c r="M94" s="830"/>
      <c r="N94" s="830"/>
    </row>
    <row r="95" spans="1:14" x14ac:dyDescent="0.3">
      <c r="A95" s="830"/>
      <c r="B95" s="830"/>
      <c r="C95" s="830"/>
      <c r="D95" s="830"/>
      <c r="E95" s="830"/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4" x14ac:dyDescent="0.3">
      <c r="A96" s="830"/>
      <c r="B96" s="830"/>
      <c r="C96" s="830"/>
      <c r="D96" s="830"/>
      <c r="E96" s="830"/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4" x14ac:dyDescent="0.3">
      <c r="A97" s="830"/>
      <c r="B97" s="830"/>
      <c r="C97" s="830"/>
      <c r="D97" s="830"/>
      <c r="E97" s="830"/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4" x14ac:dyDescent="0.3">
      <c r="A98" s="830"/>
      <c r="B98" s="830"/>
      <c r="C98" s="830"/>
      <c r="D98" s="830"/>
      <c r="E98" s="830"/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4" x14ac:dyDescent="0.3">
      <c r="A99" s="830"/>
      <c r="B99" s="830"/>
      <c r="C99" s="830"/>
      <c r="D99" s="830"/>
      <c r="E99" s="830"/>
      <c r="F99" s="830"/>
      <c r="G99" s="830"/>
      <c r="H99" s="830"/>
      <c r="I99" s="830"/>
      <c r="J99" s="830"/>
      <c r="K99" s="830"/>
      <c r="L99" s="830"/>
      <c r="M99" s="830"/>
      <c r="N99" s="830"/>
    </row>
    <row r="100" spans="1:14" x14ac:dyDescent="0.3">
      <c r="A100" s="830"/>
      <c r="B100" s="830"/>
      <c r="C100" s="830"/>
      <c r="D100" s="830"/>
      <c r="E100" s="830"/>
      <c r="F100" s="830"/>
      <c r="G100" s="830"/>
      <c r="H100" s="830"/>
      <c r="I100" s="830"/>
      <c r="J100" s="830"/>
      <c r="K100" s="830"/>
      <c r="L100" s="830"/>
      <c r="M100" s="830"/>
      <c r="N100" s="830"/>
    </row>
    <row r="101" spans="1:14" x14ac:dyDescent="0.3">
      <c r="A101" s="830"/>
      <c r="B101" s="830"/>
      <c r="C101" s="830"/>
      <c r="D101" s="830"/>
      <c r="E101" s="830"/>
      <c r="F101" s="830"/>
      <c r="G101" s="830"/>
      <c r="H101" s="830"/>
      <c r="I101" s="830"/>
      <c r="J101" s="830"/>
      <c r="K101" s="830"/>
      <c r="L101" s="830"/>
      <c r="M101" s="830"/>
      <c r="N101" s="830"/>
    </row>
    <row r="102" spans="1:14" x14ac:dyDescent="0.3">
      <c r="A102" s="830"/>
      <c r="B102" s="830"/>
      <c r="C102" s="830"/>
      <c r="D102" s="830"/>
      <c r="E102" s="830"/>
      <c r="F102" s="830"/>
      <c r="G102" s="830"/>
      <c r="H102" s="830"/>
      <c r="I102" s="830"/>
      <c r="J102" s="830"/>
      <c r="K102" s="830"/>
      <c r="L102" s="830"/>
      <c r="M102" s="830"/>
      <c r="N102" s="830"/>
    </row>
    <row r="103" spans="1:14" x14ac:dyDescent="0.3">
      <c r="A103" s="830"/>
      <c r="B103" s="830"/>
      <c r="C103" s="830"/>
      <c r="D103" s="830"/>
      <c r="E103" s="830"/>
      <c r="F103" s="830"/>
      <c r="G103" s="830"/>
      <c r="H103" s="830"/>
      <c r="I103" s="830"/>
      <c r="J103" s="830"/>
      <c r="K103" s="830"/>
      <c r="L103" s="830"/>
      <c r="M103" s="830"/>
      <c r="N103" s="830"/>
    </row>
    <row r="104" spans="1:14" x14ac:dyDescent="0.3">
      <c r="A104" s="830"/>
      <c r="B104" s="830"/>
      <c r="C104" s="830"/>
      <c r="D104" s="830"/>
      <c r="E104" s="830"/>
      <c r="F104" s="830"/>
      <c r="G104" s="830"/>
      <c r="H104" s="830"/>
      <c r="I104" s="830"/>
      <c r="J104" s="830"/>
      <c r="K104" s="830"/>
      <c r="L104" s="830"/>
      <c r="M104" s="830"/>
      <c r="N104" s="830"/>
    </row>
    <row r="105" spans="1:14" x14ac:dyDescent="0.3">
      <c r="A105" s="830"/>
      <c r="B105" s="830"/>
      <c r="C105" s="830"/>
      <c r="D105" s="830"/>
      <c r="E105" s="830"/>
      <c r="F105" s="830"/>
      <c r="G105" s="830"/>
      <c r="H105" s="830"/>
      <c r="I105" s="830"/>
      <c r="J105" s="830"/>
      <c r="K105" s="830"/>
      <c r="L105" s="830"/>
      <c r="M105" s="830"/>
      <c r="N105" s="830"/>
    </row>
    <row r="106" spans="1:14" x14ac:dyDescent="0.3">
      <c r="A106" s="830"/>
      <c r="B106" s="830"/>
      <c r="C106" s="830"/>
      <c r="D106" s="830"/>
      <c r="E106" s="830"/>
      <c r="F106" s="830"/>
      <c r="G106" s="830"/>
      <c r="H106" s="830"/>
      <c r="I106" s="830"/>
      <c r="J106" s="830"/>
      <c r="K106" s="830"/>
      <c r="L106" s="830"/>
      <c r="M106" s="830"/>
      <c r="N106" s="830"/>
    </row>
    <row r="107" spans="1:14" x14ac:dyDescent="0.3">
      <c r="A107" s="830"/>
      <c r="B107" s="830"/>
      <c r="C107" s="830"/>
      <c r="D107" s="830"/>
      <c r="E107" s="830"/>
      <c r="F107" s="830"/>
      <c r="G107" s="830"/>
      <c r="H107" s="830"/>
      <c r="I107" s="830"/>
      <c r="J107" s="830"/>
      <c r="K107" s="830"/>
      <c r="L107" s="830"/>
      <c r="M107" s="830"/>
      <c r="N107" s="830"/>
    </row>
    <row r="108" spans="1:14" x14ac:dyDescent="0.3">
      <c r="A108" s="830"/>
      <c r="B108" s="830"/>
      <c r="C108" s="830"/>
      <c r="D108" s="830"/>
      <c r="E108" s="830"/>
      <c r="F108" s="830"/>
      <c r="G108" s="830"/>
      <c r="H108" s="830"/>
      <c r="I108" s="830"/>
      <c r="J108" s="830"/>
      <c r="K108" s="830"/>
      <c r="L108" s="830"/>
      <c r="M108" s="830"/>
      <c r="N108" s="830"/>
    </row>
    <row r="109" spans="1:14" x14ac:dyDescent="0.3">
      <c r="A109" s="830"/>
      <c r="B109" s="830"/>
      <c r="C109" s="830"/>
      <c r="D109" s="830"/>
      <c r="E109" s="830"/>
      <c r="F109" s="830"/>
      <c r="G109" s="830"/>
      <c r="H109" s="830"/>
      <c r="I109" s="830"/>
      <c r="J109" s="830"/>
      <c r="K109" s="830"/>
      <c r="L109" s="830"/>
      <c r="M109" s="830"/>
      <c r="N109" s="830"/>
    </row>
    <row r="110" spans="1:14" x14ac:dyDescent="0.3">
      <c r="A110" s="830"/>
      <c r="B110" s="830"/>
      <c r="C110" s="830"/>
      <c r="D110" s="830"/>
      <c r="E110" s="830"/>
      <c r="F110" s="830"/>
      <c r="G110" s="830"/>
      <c r="H110" s="830"/>
      <c r="I110" s="830"/>
      <c r="J110" s="830"/>
      <c r="K110" s="830"/>
      <c r="L110" s="830"/>
      <c r="M110" s="830"/>
      <c r="N110" s="830"/>
    </row>
    <row r="111" spans="1:14" x14ac:dyDescent="0.3">
      <c r="A111" s="830"/>
      <c r="B111" s="830"/>
      <c r="C111" s="830"/>
      <c r="D111" s="830"/>
      <c r="E111" s="830"/>
      <c r="F111" s="830"/>
      <c r="G111" s="830"/>
      <c r="H111" s="830"/>
      <c r="I111" s="830"/>
      <c r="J111" s="830"/>
      <c r="K111" s="830"/>
      <c r="L111" s="830"/>
      <c r="M111" s="830"/>
      <c r="N111" s="830"/>
    </row>
    <row r="112" spans="1:14" x14ac:dyDescent="0.3">
      <c r="A112" s="830"/>
      <c r="B112" s="830"/>
      <c r="C112" s="830"/>
      <c r="D112" s="830"/>
      <c r="E112" s="830"/>
      <c r="F112" s="830"/>
      <c r="G112" s="830"/>
      <c r="H112" s="830"/>
      <c r="I112" s="830"/>
      <c r="J112" s="830"/>
      <c r="K112" s="830"/>
      <c r="L112" s="830"/>
      <c r="M112" s="830"/>
      <c r="N112" s="830"/>
    </row>
    <row r="113" spans="1:14" x14ac:dyDescent="0.3">
      <c r="A113" s="830"/>
      <c r="B113" s="830"/>
      <c r="C113" s="830"/>
      <c r="D113" s="830"/>
      <c r="E113" s="830"/>
      <c r="F113" s="830"/>
      <c r="G113" s="830"/>
      <c r="H113" s="830"/>
      <c r="I113" s="830"/>
      <c r="J113" s="830"/>
      <c r="K113" s="830"/>
      <c r="L113" s="830"/>
      <c r="M113" s="830"/>
      <c r="N113" s="830"/>
    </row>
    <row r="114" spans="1:14" x14ac:dyDescent="0.3">
      <c r="A114" s="830"/>
      <c r="B114" s="830"/>
      <c r="C114" s="830"/>
      <c r="D114" s="830"/>
      <c r="E114" s="830"/>
      <c r="F114" s="830"/>
      <c r="G114" s="830"/>
      <c r="H114" s="830"/>
      <c r="I114" s="830"/>
      <c r="J114" s="830"/>
      <c r="K114" s="830"/>
      <c r="L114" s="830"/>
      <c r="M114" s="830"/>
      <c r="N114" s="830"/>
    </row>
    <row r="115" spans="1:14" x14ac:dyDescent="0.3">
      <c r="A115" s="830"/>
      <c r="B115" s="830"/>
      <c r="C115" s="830"/>
      <c r="D115" s="830"/>
      <c r="E115" s="830"/>
      <c r="F115" s="830"/>
      <c r="G115" s="830"/>
      <c r="H115" s="830"/>
      <c r="I115" s="830"/>
      <c r="J115" s="830"/>
      <c r="K115" s="830"/>
      <c r="L115" s="830"/>
      <c r="M115" s="830"/>
      <c r="N115" s="830"/>
    </row>
    <row r="116" spans="1:14" x14ac:dyDescent="0.3">
      <c r="A116" s="830"/>
      <c r="B116" s="830"/>
      <c r="C116" s="830"/>
      <c r="D116" s="830"/>
      <c r="E116" s="830"/>
      <c r="F116" s="830"/>
      <c r="G116" s="830"/>
      <c r="H116" s="830"/>
      <c r="I116" s="830"/>
      <c r="J116" s="830"/>
      <c r="K116" s="830"/>
      <c r="L116" s="830"/>
      <c r="M116" s="830"/>
      <c r="N116" s="830"/>
    </row>
    <row r="117" spans="1:14" x14ac:dyDescent="0.3">
      <c r="A117" s="830"/>
      <c r="B117" s="830"/>
      <c r="C117" s="830"/>
      <c r="D117" s="830"/>
      <c r="E117" s="830"/>
      <c r="F117" s="830"/>
      <c r="G117" s="830"/>
      <c r="H117" s="830"/>
      <c r="I117" s="830"/>
      <c r="J117" s="830"/>
      <c r="K117" s="830"/>
      <c r="L117" s="830"/>
      <c r="M117" s="830"/>
      <c r="N117" s="830"/>
    </row>
    <row r="118" spans="1:14" x14ac:dyDescent="0.3">
      <c r="A118" s="830"/>
      <c r="B118" s="830"/>
      <c r="C118" s="830"/>
      <c r="D118" s="830"/>
      <c r="E118" s="830"/>
      <c r="F118" s="830"/>
      <c r="G118" s="830"/>
      <c r="H118" s="830"/>
      <c r="I118" s="830"/>
      <c r="J118" s="830"/>
      <c r="K118" s="830"/>
      <c r="L118" s="830"/>
      <c r="M118" s="830"/>
      <c r="N118" s="830"/>
    </row>
    <row r="119" spans="1:14" x14ac:dyDescent="0.3">
      <c r="A119" s="830"/>
      <c r="B119" s="830"/>
      <c r="C119" s="830"/>
      <c r="D119" s="830"/>
      <c r="E119" s="830"/>
      <c r="F119" s="830"/>
      <c r="G119" s="830"/>
      <c r="H119" s="830"/>
      <c r="I119" s="830"/>
      <c r="J119" s="830"/>
      <c r="K119" s="830"/>
      <c r="L119" s="830"/>
      <c r="M119" s="830"/>
      <c r="N119" s="830"/>
    </row>
    <row r="120" spans="1:14" x14ac:dyDescent="0.3">
      <c r="A120" s="830"/>
      <c r="B120" s="830"/>
      <c r="C120" s="830"/>
      <c r="D120" s="830"/>
      <c r="E120" s="830"/>
      <c r="F120" s="830"/>
      <c r="G120" s="830"/>
      <c r="H120" s="830"/>
      <c r="I120" s="830"/>
      <c r="J120" s="830"/>
      <c r="K120" s="830"/>
      <c r="L120" s="830"/>
      <c r="M120" s="830"/>
      <c r="N120" s="830"/>
    </row>
    <row r="121" spans="1:14" x14ac:dyDescent="0.3">
      <c r="A121" s="830"/>
      <c r="B121" s="830"/>
      <c r="C121" s="830"/>
      <c r="D121" s="830"/>
      <c r="E121" s="830"/>
      <c r="F121" s="830"/>
      <c r="G121" s="830"/>
      <c r="H121" s="830"/>
      <c r="I121" s="830"/>
      <c r="J121" s="830"/>
      <c r="K121" s="830"/>
      <c r="L121" s="830"/>
      <c r="M121" s="830"/>
      <c r="N121" s="830"/>
    </row>
    <row r="122" spans="1:14" x14ac:dyDescent="0.3">
      <c r="A122" s="830"/>
      <c r="B122" s="830"/>
      <c r="C122" s="830"/>
      <c r="D122" s="830"/>
      <c r="E122" s="830"/>
      <c r="F122" s="830"/>
      <c r="G122" s="830"/>
      <c r="H122" s="830"/>
      <c r="I122" s="830"/>
      <c r="J122" s="830"/>
      <c r="K122" s="830"/>
      <c r="L122" s="830"/>
      <c r="M122" s="830"/>
      <c r="N122" s="830"/>
    </row>
    <row r="123" spans="1:14" x14ac:dyDescent="0.3">
      <c r="A123" s="830"/>
      <c r="B123" s="830"/>
      <c r="C123" s="830"/>
      <c r="D123" s="830"/>
      <c r="E123" s="830"/>
      <c r="F123" s="830"/>
      <c r="G123" s="830"/>
      <c r="H123" s="830"/>
      <c r="I123" s="830"/>
      <c r="J123" s="830"/>
      <c r="K123" s="830"/>
      <c r="L123" s="830"/>
      <c r="M123" s="830"/>
      <c r="N123" s="830"/>
    </row>
    <row r="124" spans="1:14" x14ac:dyDescent="0.3">
      <c r="A124" s="830"/>
      <c r="B124" s="830"/>
      <c r="C124" s="830"/>
      <c r="D124" s="830"/>
      <c r="E124" s="830"/>
      <c r="F124" s="830"/>
      <c r="G124" s="830"/>
      <c r="H124" s="830"/>
      <c r="I124" s="830"/>
      <c r="J124" s="830"/>
      <c r="K124" s="830"/>
      <c r="L124" s="830"/>
      <c r="M124" s="830"/>
      <c r="N124" s="830"/>
    </row>
    <row r="125" spans="1:14" x14ac:dyDescent="0.3">
      <c r="A125" s="830"/>
      <c r="B125" s="830"/>
      <c r="C125" s="830"/>
      <c r="D125" s="830"/>
      <c r="E125" s="830"/>
      <c r="F125" s="830"/>
      <c r="G125" s="830"/>
      <c r="H125" s="830"/>
      <c r="I125" s="830"/>
      <c r="J125" s="830"/>
      <c r="K125" s="830"/>
      <c r="L125" s="830"/>
      <c r="M125" s="830"/>
      <c r="N125" s="830"/>
    </row>
    <row r="126" spans="1:14" x14ac:dyDescent="0.3">
      <c r="A126" s="830"/>
      <c r="B126" s="830"/>
      <c r="C126" s="830"/>
      <c r="D126" s="830"/>
      <c r="E126" s="830"/>
      <c r="F126" s="830"/>
      <c r="G126" s="830"/>
      <c r="H126" s="830"/>
      <c r="I126" s="830"/>
      <c r="J126" s="830"/>
      <c r="K126" s="830"/>
      <c r="L126" s="830"/>
      <c r="M126" s="830"/>
      <c r="N126" s="830"/>
    </row>
    <row r="127" spans="1:14" x14ac:dyDescent="0.3">
      <c r="A127" s="830"/>
      <c r="B127" s="830"/>
      <c r="C127" s="830"/>
      <c r="D127" s="830"/>
      <c r="E127" s="830"/>
      <c r="F127" s="830"/>
      <c r="G127" s="830"/>
      <c r="H127" s="830"/>
      <c r="I127" s="830"/>
      <c r="J127" s="830"/>
      <c r="K127" s="830"/>
      <c r="L127" s="830"/>
      <c r="M127" s="830"/>
      <c r="N127" s="830"/>
    </row>
    <row r="128" spans="1:14" x14ac:dyDescent="0.3">
      <c r="A128" s="830"/>
      <c r="B128" s="830"/>
      <c r="C128" s="830"/>
      <c r="D128" s="830"/>
      <c r="E128" s="830"/>
      <c r="F128" s="830"/>
      <c r="G128" s="830"/>
      <c r="H128" s="830"/>
      <c r="I128" s="830"/>
      <c r="J128" s="830"/>
      <c r="K128" s="830"/>
      <c r="L128" s="830"/>
      <c r="M128" s="830"/>
      <c r="N128" s="830"/>
    </row>
    <row r="129" spans="1:14" x14ac:dyDescent="0.3">
      <c r="A129" s="830"/>
      <c r="B129" s="830"/>
      <c r="C129" s="830"/>
      <c r="D129" s="830"/>
      <c r="E129" s="830"/>
      <c r="F129" s="830"/>
      <c r="G129" s="830"/>
      <c r="H129" s="830"/>
      <c r="I129" s="830"/>
      <c r="J129" s="830"/>
      <c r="K129" s="830"/>
      <c r="L129" s="830"/>
      <c r="M129" s="830"/>
      <c r="N129" s="830"/>
    </row>
    <row r="130" spans="1:14" x14ac:dyDescent="0.3">
      <c r="A130" s="830"/>
      <c r="B130" s="830"/>
      <c r="C130" s="830"/>
      <c r="D130" s="830"/>
      <c r="E130" s="830"/>
      <c r="F130" s="830"/>
      <c r="G130" s="830"/>
      <c r="H130" s="830"/>
      <c r="I130" s="830"/>
      <c r="J130" s="830"/>
      <c r="K130" s="830"/>
      <c r="L130" s="830"/>
      <c r="M130" s="830"/>
      <c r="N130" s="830"/>
    </row>
    <row r="131" spans="1:14" x14ac:dyDescent="0.3">
      <c r="A131" s="830"/>
      <c r="B131" s="830"/>
      <c r="C131" s="830"/>
      <c r="D131" s="830"/>
      <c r="E131" s="830"/>
      <c r="F131" s="830"/>
      <c r="G131" s="830"/>
      <c r="H131" s="830"/>
      <c r="I131" s="830"/>
      <c r="J131" s="830"/>
      <c r="K131" s="830"/>
      <c r="L131" s="830"/>
      <c r="M131" s="830"/>
      <c r="N131" s="830"/>
    </row>
    <row r="132" spans="1:14" x14ac:dyDescent="0.3">
      <c r="A132" s="830"/>
      <c r="B132" s="830"/>
      <c r="C132" s="830"/>
      <c r="D132" s="830"/>
      <c r="E132" s="830"/>
      <c r="F132" s="830"/>
      <c r="G132" s="830"/>
      <c r="H132" s="830"/>
      <c r="I132" s="830"/>
      <c r="J132" s="830"/>
      <c r="K132" s="830"/>
      <c r="L132" s="830"/>
      <c r="M132" s="830"/>
      <c r="N132" s="830"/>
    </row>
    <row r="133" spans="1:14" x14ac:dyDescent="0.3">
      <c r="A133" s="830"/>
      <c r="B133" s="830"/>
      <c r="C133" s="830"/>
      <c r="D133" s="830"/>
      <c r="E133" s="830"/>
      <c r="F133" s="830"/>
      <c r="G133" s="830"/>
      <c r="H133" s="830"/>
      <c r="I133" s="830"/>
      <c r="J133" s="830"/>
      <c r="K133" s="830"/>
      <c r="L133" s="830"/>
      <c r="M133" s="830"/>
      <c r="N133" s="830"/>
    </row>
    <row r="134" spans="1:14" x14ac:dyDescent="0.3">
      <c r="A134" s="830"/>
      <c r="B134" s="830"/>
      <c r="C134" s="830"/>
      <c r="D134" s="830"/>
      <c r="E134" s="830"/>
      <c r="F134" s="830"/>
      <c r="G134" s="830"/>
      <c r="H134" s="830"/>
      <c r="I134" s="830"/>
      <c r="J134" s="830"/>
      <c r="K134" s="830"/>
      <c r="L134" s="830"/>
      <c r="M134" s="830"/>
      <c r="N134" s="830"/>
    </row>
    <row r="135" spans="1:14" x14ac:dyDescent="0.3">
      <c r="A135" s="830"/>
      <c r="B135" s="830"/>
      <c r="C135" s="830"/>
      <c r="D135" s="830"/>
      <c r="E135" s="830"/>
      <c r="F135" s="830"/>
      <c r="G135" s="830"/>
      <c r="H135" s="830"/>
      <c r="I135" s="830"/>
      <c r="J135" s="830"/>
      <c r="K135" s="830"/>
      <c r="L135" s="830"/>
      <c r="M135" s="830"/>
      <c r="N135" s="830"/>
    </row>
    <row r="136" spans="1:14" x14ac:dyDescent="0.3">
      <c r="A136" s="830"/>
      <c r="B136" s="830"/>
      <c r="C136" s="830"/>
      <c r="D136" s="830"/>
      <c r="E136" s="830"/>
      <c r="F136" s="830"/>
      <c r="G136" s="830"/>
      <c r="H136" s="830"/>
      <c r="I136" s="830"/>
      <c r="J136" s="830"/>
      <c r="K136" s="830"/>
      <c r="L136" s="830"/>
      <c r="M136" s="830"/>
      <c r="N136" s="830"/>
    </row>
    <row r="137" spans="1:14" x14ac:dyDescent="0.3">
      <c r="A137" s="830"/>
      <c r="B137" s="830"/>
      <c r="C137" s="830"/>
      <c r="D137" s="830"/>
      <c r="E137" s="830"/>
      <c r="F137" s="830"/>
      <c r="G137" s="830"/>
      <c r="H137" s="830"/>
      <c r="I137" s="830"/>
      <c r="J137" s="830"/>
      <c r="K137" s="830"/>
      <c r="L137" s="830"/>
      <c r="M137" s="830"/>
      <c r="N137" s="830"/>
    </row>
    <row r="138" spans="1:14" x14ac:dyDescent="0.3">
      <c r="A138" s="830"/>
      <c r="B138" s="830"/>
      <c r="C138" s="830"/>
      <c r="D138" s="830"/>
      <c r="E138" s="830"/>
      <c r="F138" s="830"/>
      <c r="G138" s="830"/>
      <c r="H138" s="830"/>
      <c r="I138" s="830"/>
      <c r="J138" s="830"/>
      <c r="K138" s="830"/>
      <c r="L138" s="830"/>
      <c r="M138" s="830"/>
      <c r="N138" s="830"/>
    </row>
    <row r="139" spans="1:14" x14ac:dyDescent="0.3">
      <c r="A139" s="830"/>
      <c r="B139" s="830"/>
      <c r="C139" s="830"/>
      <c r="D139" s="830"/>
      <c r="E139" s="830"/>
      <c r="F139" s="830"/>
      <c r="G139" s="830"/>
      <c r="H139" s="830"/>
      <c r="I139" s="830"/>
      <c r="J139" s="830"/>
      <c r="K139" s="830"/>
      <c r="L139" s="830"/>
      <c r="M139" s="830"/>
      <c r="N139" s="830"/>
    </row>
    <row r="140" spans="1:14" x14ac:dyDescent="0.3">
      <c r="A140" s="830"/>
      <c r="B140" s="830"/>
      <c r="C140" s="830"/>
      <c r="D140" s="830"/>
      <c r="E140" s="830"/>
      <c r="F140" s="830"/>
      <c r="G140" s="830"/>
      <c r="H140" s="830"/>
      <c r="I140" s="830"/>
      <c r="J140" s="830"/>
      <c r="K140" s="830"/>
      <c r="L140" s="830"/>
      <c r="M140" s="830"/>
      <c r="N140" s="830"/>
    </row>
    <row r="141" spans="1:14" x14ac:dyDescent="0.3">
      <c r="A141" s="830"/>
      <c r="B141" s="830"/>
      <c r="C141" s="830"/>
      <c r="D141" s="830"/>
      <c r="E141" s="830"/>
      <c r="F141" s="830"/>
      <c r="G141" s="830"/>
      <c r="H141" s="830"/>
      <c r="I141" s="830"/>
      <c r="J141" s="830"/>
      <c r="K141" s="830"/>
      <c r="L141" s="830"/>
      <c r="M141" s="830"/>
      <c r="N141" s="830"/>
    </row>
    <row r="142" spans="1:14" x14ac:dyDescent="0.3">
      <c r="A142" s="830"/>
      <c r="B142" s="830"/>
      <c r="C142" s="830"/>
      <c r="D142" s="830"/>
      <c r="E142" s="830"/>
      <c r="F142" s="830"/>
      <c r="G142" s="830"/>
      <c r="H142" s="830"/>
      <c r="I142" s="830"/>
      <c r="J142" s="830"/>
      <c r="K142" s="830"/>
      <c r="L142" s="830"/>
      <c r="M142" s="830"/>
      <c r="N142" s="830"/>
    </row>
    <row r="143" spans="1:14" x14ac:dyDescent="0.3">
      <c r="A143" s="830"/>
      <c r="B143" s="830"/>
      <c r="C143" s="830"/>
      <c r="D143" s="830"/>
      <c r="E143" s="830"/>
      <c r="F143" s="830"/>
      <c r="G143" s="830"/>
      <c r="H143" s="830"/>
      <c r="I143" s="830"/>
      <c r="J143" s="830"/>
      <c r="K143" s="830"/>
      <c r="L143" s="830"/>
      <c r="M143" s="830"/>
      <c r="N143" s="830"/>
    </row>
    <row r="144" spans="1:14" x14ac:dyDescent="0.3">
      <c r="A144" s="830"/>
      <c r="B144" s="830"/>
      <c r="C144" s="830"/>
      <c r="D144" s="830"/>
      <c r="E144" s="830"/>
      <c r="F144" s="830"/>
      <c r="G144" s="830"/>
      <c r="H144" s="830"/>
      <c r="I144" s="830"/>
      <c r="J144" s="830"/>
      <c r="K144" s="830"/>
      <c r="L144" s="830"/>
      <c r="M144" s="830"/>
      <c r="N144" s="830"/>
    </row>
    <row r="145" spans="1:14" x14ac:dyDescent="0.3">
      <c r="A145" s="830"/>
      <c r="B145" s="830"/>
      <c r="C145" s="830"/>
      <c r="D145" s="830"/>
      <c r="E145" s="830"/>
      <c r="F145" s="830"/>
      <c r="G145" s="830"/>
      <c r="H145" s="830"/>
      <c r="I145" s="830"/>
      <c r="J145" s="830"/>
      <c r="K145" s="830"/>
      <c r="L145" s="830"/>
      <c r="M145" s="830"/>
      <c r="N145" s="830"/>
    </row>
    <row r="146" spans="1:14" x14ac:dyDescent="0.3">
      <c r="A146" s="830"/>
      <c r="B146" s="830"/>
      <c r="C146" s="830"/>
      <c r="D146" s="830"/>
      <c r="E146" s="830"/>
      <c r="F146" s="830"/>
      <c r="G146" s="830"/>
      <c r="H146" s="830"/>
      <c r="I146" s="830"/>
      <c r="J146" s="830"/>
      <c r="K146" s="830"/>
      <c r="L146" s="830"/>
      <c r="M146" s="830"/>
      <c r="N146" s="830"/>
    </row>
    <row r="147" spans="1:14" x14ac:dyDescent="0.3">
      <c r="A147" s="830"/>
      <c r="B147" s="830"/>
      <c r="C147" s="830"/>
      <c r="D147" s="830"/>
      <c r="E147" s="830"/>
      <c r="F147" s="830"/>
      <c r="G147" s="830"/>
      <c r="H147" s="830"/>
      <c r="I147" s="830"/>
      <c r="J147" s="830"/>
      <c r="K147" s="830"/>
      <c r="L147" s="830"/>
      <c r="M147" s="830"/>
      <c r="N147" s="830"/>
    </row>
    <row r="148" spans="1:14" x14ac:dyDescent="0.3">
      <c r="A148" s="830"/>
      <c r="B148" s="830"/>
      <c r="C148" s="830"/>
      <c r="D148" s="830"/>
      <c r="E148" s="830"/>
      <c r="F148" s="830"/>
      <c r="G148" s="830"/>
      <c r="H148" s="830"/>
      <c r="I148" s="830"/>
      <c r="J148" s="830"/>
      <c r="K148" s="830"/>
      <c r="L148" s="830"/>
      <c r="M148" s="830"/>
      <c r="N148" s="830"/>
    </row>
    <row r="149" spans="1:14" x14ac:dyDescent="0.3">
      <c r="A149" s="830"/>
      <c r="B149" s="830"/>
      <c r="C149" s="830"/>
      <c r="D149" s="830"/>
      <c r="E149" s="830"/>
      <c r="F149" s="830"/>
      <c r="G149" s="830"/>
      <c r="H149" s="830"/>
      <c r="I149" s="830"/>
      <c r="J149" s="830"/>
      <c r="K149" s="830"/>
      <c r="L149" s="830"/>
      <c r="M149" s="830"/>
      <c r="N149" s="830"/>
    </row>
    <row r="150" spans="1:14" x14ac:dyDescent="0.3">
      <c r="A150" s="830"/>
      <c r="B150" s="830"/>
      <c r="C150" s="830"/>
      <c r="D150" s="830"/>
      <c r="E150" s="830"/>
      <c r="F150" s="830"/>
      <c r="G150" s="830"/>
      <c r="H150" s="830"/>
      <c r="I150" s="830"/>
      <c r="J150" s="830"/>
      <c r="K150" s="830"/>
      <c r="L150" s="830"/>
      <c r="M150" s="830"/>
      <c r="N150" s="830"/>
    </row>
    <row r="151" spans="1:14" x14ac:dyDescent="0.3">
      <c r="A151" s="830"/>
      <c r="B151" s="830"/>
      <c r="C151" s="830"/>
      <c r="D151" s="830"/>
      <c r="E151" s="830"/>
      <c r="F151" s="830"/>
      <c r="G151" s="830"/>
      <c r="H151" s="830"/>
      <c r="I151" s="830"/>
      <c r="J151" s="830"/>
      <c r="K151" s="830"/>
      <c r="L151" s="830"/>
      <c r="M151" s="830"/>
      <c r="N151" s="830"/>
    </row>
    <row r="152" spans="1:14" x14ac:dyDescent="0.3">
      <c r="A152" s="830"/>
      <c r="B152" s="830"/>
      <c r="C152" s="830"/>
      <c r="D152" s="830"/>
      <c r="E152" s="830"/>
      <c r="F152" s="830"/>
      <c r="G152" s="830"/>
      <c r="H152" s="830"/>
      <c r="I152" s="830"/>
      <c r="J152" s="830"/>
      <c r="K152" s="830"/>
      <c r="L152" s="830"/>
      <c r="M152" s="830"/>
      <c r="N152" s="830"/>
    </row>
    <row r="153" spans="1:14" x14ac:dyDescent="0.3">
      <c r="A153" s="830"/>
      <c r="B153" s="830"/>
      <c r="C153" s="830"/>
      <c r="D153" s="830"/>
      <c r="E153" s="830"/>
      <c r="F153" s="830"/>
      <c r="G153" s="830"/>
      <c r="H153" s="830"/>
      <c r="I153" s="830"/>
      <c r="J153" s="830"/>
      <c r="K153" s="830"/>
      <c r="L153" s="830"/>
      <c r="M153" s="830"/>
      <c r="N153" s="830"/>
    </row>
    <row r="154" spans="1:14" x14ac:dyDescent="0.3">
      <c r="A154" s="830"/>
      <c r="B154" s="830"/>
      <c r="C154" s="830"/>
      <c r="D154" s="830"/>
      <c r="E154" s="830"/>
      <c r="F154" s="830"/>
      <c r="G154" s="830"/>
      <c r="H154" s="830"/>
      <c r="I154" s="830"/>
      <c r="J154" s="830"/>
      <c r="K154" s="830"/>
      <c r="L154" s="830"/>
      <c r="M154" s="830"/>
      <c r="N154" s="830"/>
    </row>
    <row r="155" spans="1:14" x14ac:dyDescent="0.3">
      <c r="A155" s="830"/>
      <c r="B155" s="830"/>
      <c r="C155" s="830"/>
      <c r="D155" s="830"/>
      <c r="E155" s="830"/>
      <c r="F155" s="830"/>
      <c r="G155" s="830"/>
      <c r="H155" s="830"/>
      <c r="I155" s="830"/>
      <c r="J155" s="830"/>
      <c r="K155" s="830"/>
      <c r="L155" s="830"/>
      <c r="M155" s="830"/>
      <c r="N155" s="830"/>
    </row>
    <row r="156" spans="1:14" x14ac:dyDescent="0.3">
      <c r="A156" s="830"/>
      <c r="B156" s="830"/>
      <c r="C156" s="830"/>
      <c r="D156" s="830"/>
      <c r="E156" s="830"/>
      <c r="F156" s="830"/>
      <c r="G156" s="830"/>
      <c r="H156" s="830"/>
      <c r="I156" s="830"/>
      <c r="J156" s="830"/>
      <c r="K156" s="830"/>
      <c r="L156" s="830"/>
      <c r="M156" s="830"/>
      <c r="N156" s="830"/>
    </row>
    <row r="157" spans="1:14" x14ac:dyDescent="0.3">
      <c r="A157" s="830"/>
      <c r="B157" s="830"/>
      <c r="C157" s="830"/>
      <c r="D157" s="830"/>
      <c r="E157" s="830"/>
      <c r="F157" s="830"/>
      <c r="G157" s="830"/>
      <c r="H157" s="830"/>
      <c r="I157" s="830"/>
      <c r="J157" s="830"/>
      <c r="K157" s="830"/>
      <c r="L157" s="830"/>
      <c r="M157" s="830"/>
      <c r="N157" s="830"/>
    </row>
    <row r="158" spans="1:14" x14ac:dyDescent="0.3">
      <c r="A158" s="830"/>
      <c r="B158" s="830"/>
      <c r="C158" s="830"/>
      <c r="D158" s="830"/>
      <c r="E158" s="830"/>
      <c r="F158" s="830"/>
      <c r="G158" s="830"/>
      <c r="H158" s="830"/>
      <c r="I158" s="830"/>
      <c r="J158" s="830"/>
      <c r="K158" s="830"/>
      <c r="L158" s="830"/>
      <c r="M158" s="830"/>
      <c r="N158" s="830"/>
    </row>
    <row r="159" spans="1:14" x14ac:dyDescent="0.3">
      <c r="A159" s="830"/>
      <c r="B159" s="830"/>
      <c r="C159" s="830"/>
      <c r="D159" s="830"/>
      <c r="E159" s="830"/>
      <c r="F159" s="830"/>
      <c r="G159" s="830"/>
      <c r="H159" s="830"/>
      <c r="I159" s="830"/>
      <c r="J159" s="830"/>
      <c r="K159" s="830"/>
      <c r="L159" s="830"/>
      <c r="M159" s="830"/>
      <c r="N159" s="830"/>
    </row>
    <row r="160" spans="1:14" x14ac:dyDescent="0.3">
      <c r="A160" s="830"/>
      <c r="B160" s="830"/>
      <c r="C160" s="830"/>
      <c r="D160" s="830"/>
      <c r="E160" s="830"/>
      <c r="F160" s="830"/>
      <c r="G160" s="830"/>
      <c r="H160" s="830"/>
      <c r="I160" s="830"/>
      <c r="J160" s="830"/>
      <c r="K160" s="830"/>
      <c r="L160" s="830"/>
      <c r="M160" s="830"/>
      <c r="N160" s="830"/>
    </row>
    <row r="161" spans="1:14" x14ac:dyDescent="0.3">
      <c r="A161" s="830"/>
      <c r="B161" s="830"/>
      <c r="C161" s="830"/>
      <c r="D161" s="830"/>
      <c r="E161" s="830"/>
      <c r="F161" s="830"/>
      <c r="G161" s="830"/>
      <c r="H161" s="830"/>
      <c r="I161" s="830"/>
      <c r="J161" s="830"/>
      <c r="K161" s="830"/>
      <c r="L161" s="830"/>
      <c r="M161" s="830"/>
      <c r="N161" s="830"/>
    </row>
    <row r="162" spans="1:14" x14ac:dyDescent="0.3">
      <c r="A162" s="830"/>
      <c r="B162" s="830"/>
      <c r="C162" s="830"/>
      <c r="D162" s="830"/>
      <c r="E162" s="830"/>
      <c r="F162" s="830"/>
      <c r="G162" s="830"/>
      <c r="H162" s="830"/>
      <c r="I162" s="830"/>
      <c r="J162" s="830"/>
      <c r="K162" s="830"/>
      <c r="L162" s="830"/>
      <c r="M162" s="830"/>
      <c r="N162" s="830"/>
    </row>
    <row r="163" spans="1:14" x14ac:dyDescent="0.3">
      <c r="A163" s="830"/>
      <c r="B163" s="830"/>
      <c r="C163" s="830"/>
      <c r="D163" s="830"/>
      <c r="E163" s="830"/>
      <c r="F163" s="830"/>
      <c r="G163" s="830"/>
      <c r="H163" s="830"/>
      <c r="I163" s="830"/>
      <c r="J163" s="830"/>
      <c r="K163" s="830"/>
      <c r="L163" s="830"/>
      <c r="M163" s="830"/>
      <c r="N163" s="830"/>
    </row>
    <row r="164" spans="1:14" x14ac:dyDescent="0.3">
      <c r="A164" s="830"/>
      <c r="B164" s="830"/>
      <c r="C164" s="830"/>
      <c r="D164" s="830"/>
      <c r="E164" s="830"/>
      <c r="F164" s="830"/>
      <c r="G164" s="830"/>
      <c r="H164" s="830"/>
      <c r="I164" s="830"/>
      <c r="J164" s="830"/>
      <c r="K164" s="830"/>
      <c r="L164" s="830"/>
      <c r="M164" s="830"/>
      <c r="N164" s="830"/>
    </row>
    <row r="165" spans="1:14" x14ac:dyDescent="0.3">
      <c r="A165" s="830"/>
      <c r="B165" s="830"/>
      <c r="C165" s="830"/>
      <c r="D165" s="830"/>
      <c r="E165" s="830"/>
      <c r="F165" s="830"/>
      <c r="G165" s="830"/>
      <c r="H165" s="830"/>
      <c r="I165" s="830"/>
      <c r="J165" s="830"/>
      <c r="K165" s="830"/>
      <c r="L165" s="830"/>
      <c r="M165" s="830"/>
      <c r="N165" s="830"/>
    </row>
    <row r="166" spans="1:14" x14ac:dyDescent="0.3">
      <c r="A166" s="830"/>
      <c r="B166" s="830"/>
      <c r="C166" s="830"/>
      <c r="D166" s="830"/>
      <c r="E166" s="830"/>
      <c r="F166" s="830"/>
      <c r="G166" s="830"/>
      <c r="H166" s="830"/>
      <c r="I166" s="830"/>
      <c r="J166" s="830"/>
      <c r="K166" s="830"/>
      <c r="L166" s="830"/>
      <c r="M166" s="830"/>
      <c r="N166" s="830"/>
    </row>
    <row r="167" spans="1:14" x14ac:dyDescent="0.3">
      <c r="A167" s="830"/>
      <c r="B167" s="830"/>
      <c r="C167" s="830"/>
      <c r="D167" s="830"/>
      <c r="E167" s="830"/>
      <c r="F167" s="830"/>
      <c r="G167" s="830"/>
      <c r="H167" s="830"/>
      <c r="I167" s="830"/>
      <c r="J167" s="830"/>
      <c r="K167" s="830"/>
      <c r="L167" s="830"/>
      <c r="M167" s="830"/>
      <c r="N167" s="830"/>
    </row>
    <row r="168" spans="1:14" x14ac:dyDescent="0.3">
      <c r="A168" s="830"/>
      <c r="B168" s="830"/>
      <c r="C168" s="830"/>
      <c r="D168" s="830"/>
      <c r="E168" s="830"/>
      <c r="F168" s="830"/>
      <c r="G168" s="830"/>
      <c r="H168" s="830"/>
      <c r="I168" s="830"/>
      <c r="J168" s="830"/>
      <c r="K168" s="830"/>
      <c r="L168" s="830"/>
      <c r="M168" s="830"/>
      <c r="N168" s="830"/>
    </row>
    <row r="169" spans="1:14" x14ac:dyDescent="0.3">
      <c r="A169" s="830"/>
      <c r="B169" s="830"/>
      <c r="C169" s="830"/>
      <c r="D169" s="830"/>
      <c r="E169" s="830"/>
      <c r="F169" s="830"/>
      <c r="G169" s="830"/>
      <c r="H169" s="830"/>
      <c r="I169" s="830"/>
      <c r="J169" s="830"/>
      <c r="K169" s="830"/>
      <c r="L169" s="830"/>
      <c r="M169" s="830"/>
      <c r="N169" s="830"/>
    </row>
    <row r="170" spans="1:14" x14ac:dyDescent="0.3">
      <c r="A170" s="830"/>
      <c r="B170" s="830"/>
      <c r="C170" s="830"/>
      <c r="D170" s="830"/>
      <c r="E170" s="830"/>
      <c r="F170" s="830"/>
      <c r="G170" s="830"/>
      <c r="H170" s="830"/>
      <c r="I170" s="830"/>
      <c r="J170" s="830"/>
      <c r="K170" s="830"/>
      <c r="L170" s="830"/>
      <c r="M170" s="830"/>
      <c r="N170" s="830"/>
    </row>
    <row r="171" spans="1:14" x14ac:dyDescent="0.3">
      <c r="A171" s="830"/>
      <c r="B171" s="830"/>
      <c r="C171" s="830"/>
      <c r="D171" s="830"/>
      <c r="E171" s="830"/>
      <c r="F171" s="830"/>
      <c r="G171" s="830"/>
      <c r="H171" s="830"/>
      <c r="I171" s="830"/>
      <c r="J171" s="830"/>
      <c r="K171" s="830"/>
      <c r="L171" s="830"/>
      <c r="M171" s="830"/>
      <c r="N171" s="830"/>
    </row>
    <row r="172" spans="1:14" x14ac:dyDescent="0.3">
      <c r="A172" s="830"/>
      <c r="B172" s="830"/>
      <c r="C172" s="830"/>
      <c r="D172" s="830"/>
      <c r="E172" s="830"/>
      <c r="F172" s="830"/>
      <c r="G172" s="830"/>
      <c r="H172" s="830"/>
      <c r="I172" s="830"/>
      <c r="J172" s="830"/>
      <c r="K172" s="830"/>
      <c r="L172" s="830"/>
      <c r="M172" s="830"/>
      <c r="N172" s="830"/>
    </row>
    <row r="173" spans="1:14" x14ac:dyDescent="0.3">
      <c r="A173" s="830"/>
      <c r="B173" s="830"/>
      <c r="C173" s="830"/>
      <c r="D173" s="830"/>
      <c r="E173" s="830"/>
      <c r="F173" s="830"/>
      <c r="G173" s="830"/>
      <c r="H173" s="830"/>
      <c r="I173" s="830"/>
      <c r="J173" s="830"/>
      <c r="K173" s="830"/>
      <c r="L173" s="830"/>
      <c r="M173" s="830"/>
      <c r="N173" s="830"/>
    </row>
    <row r="174" spans="1:14" x14ac:dyDescent="0.3">
      <c r="A174" s="830"/>
      <c r="B174" s="830"/>
      <c r="C174" s="830"/>
      <c r="D174" s="830"/>
      <c r="E174" s="830"/>
      <c r="F174" s="830"/>
      <c r="G174" s="830"/>
      <c r="H174" s="830"/>
      <c r="I174" s="830"/>
      <c r="J174" s="830"/>
      <c r="K174" s="830"/>
      <c r="L174" s="830"/>
      <c r="M174" s="830"/>
      <c r="N174" s="830"/>
    </row>
    <row r="175" spans="1:14" x14ac:dyDescent="0.3">
      <c r="A175" s="830"/>
      <c r="B175" s="830"/>
      <c r="C175" s="830"/>
      <c r="D175" s="830"/>
      <c r="E175" s="830"/>
      <c r="F175" s="830"/>
      <c r="G175" s="830"/>
      <c r="H175" s="830"/>
      <c r="I175" s="830"/>
      <c r="J175" s="830"/>
      <c r="K175" s="830"/>
      <c r="L175" s="830"/>
      <c r="M175" s="830"/>
      <c r="N175" s="830"/>
    </row>
    <row r="176" spans="1:14" x14ac:dyDescent="0.3">
      <c r="A176" s="830"/>
      <c r="B176" s="830"/>
      <c r="C176" s="830"/>
      <c r="D176" s="830"/>
      <c r="E176" s="830"/>
      <c r="F176" s="830"/>
      <c r="G176" s="830"/>
      <c r="H176" s="830"/>
      <c r="I176" s="830"/>
      <c r="J176" s="830"/>
      <c r="K176" s="830"/>
      <c r="L176" s="830"/>
      <c r="M176" s="830"/>
      <c r="N176" s="830"/>
    </row>
    <row r="177" spans="1:14" x14ac:dyDescent="0.3">
      <c r="A177" s="830"/>
      <c r="B177" s="830"/>
      <c r="C177" s="830"/>
      <c r="D177" s="830"/>
      <c r="E177" s="830"/>
      <c r="F177" s="830"/>
      <c r="G177" s="830"/>
      <c r="H177" s="830"/>
      <c r="I177" s="830"/>
      <c r="J177" s="830"/>
      <c r="K177" s="830"/>
      <c r="L177" s="830"/>
      <c r="M177" s="830"/>
      <c r="N177" s="830"/>
    </row>
    <row r="178" spans="1:14" x14ac:dyDescent="0.3">
      <c r="A178" s="830"/>
      <c r="B178" s="830"/>
      <c r="C178" s="830"/>
      <c r="D178" s="830"/>
      <c r="E178" s="830"/>
      <c r="F178" s="830"/>
      <c r="G178" s="830"/>
      <c r="H178" s="830"/>
      <c r="I178" s="830"/>
      <c r="J178" s="830"/>
      <c r="K178" s="830"/>
      <c r="L178" s="830"/>
      <c r="M178" s="830"/>
      <c r="N178" s="830"/>
    </row>
    <row r="179" spans="1:14" x14ac:dyDescent="0.3">
      <c r="A179" s="830"/>
      <c r="B179" s="830"/>
      <c r="C179" s="830"/>
      <c r="D179" s="830"/>
      <c r="E179" s="830"/>
      <c r="F179" s="830"/>
      <c r="G179" s="830"/>
      <c r="H179" s="830"/>
      <c r="I179" s="830"/>
      <c r="J179" s="830"/>
      <c r="K179" s="830"/>
      <c r="L179" s="830"/>
      <c r="M179" s="830"/>
      <c r="N179" s="830"/>
    </row>
    <row r="180" spans="1:14" x14ac:dyDescent="0.3">
      <c r="A180" s="830"/>
      <c r="B180" s="830"/>
      <c r="C180" s="830"/>
      <c r="D180" s="830"/>
      <c r="E180" s="830"/>
      <c r="F180" s="830"/>
      <c r="G180" s="830"/>
      <c r="H180" s="830"/>
      <c r="I180" s="830"/>
      <c r="J180" s="830"/>
      <c r="K180" s="830"/>
      <c r="L180" s="830"/>
      <c r="M180" s="830"/>
      <c r="N180" s="830"/>
    </row>
    <row r="181" spans="1:14" x14ac:dyDescent="0.3">
      <c r="A181" s="830"/>
      <c r="B181" s="830"/>
      <c r="C181" s="830"/>
      <c r="D181" s="830"/>
      <c r="E181" s="830"/>
      <c r="F181" s="830"/>
      <c r="G181" s="830"/>
      <c r="H181" s="830"/>
      <c r="I181" s="830"/>
      <c r="J181" s="830"/>
      <c r="K181" s="830"/>
      <c r="L181" s="830"/>
      <c r="M181" s="830"/>
      <c r="N181" s="830"/>
    </row>
    <row r="182" spans="1:14" x14ac:dyDescent="0.3">
      <c r="A182" s="830"/>
      <c r="B182" s="830"/>
      <c r="C182" s="830"/>
      <c r="D182" s="830"/>
      <c r="E182" s="830"/>
      <c r="F182" s="830"/>
      <c r="G182" s="830"/>
      <c r="H182" s="830"/>
      <c r="I182" s="830"/>
      <c r="J182" s="830"/>
      <c r="K182" s="830"/>
      <c r="L182" s="830"/>
      <c r="M182" s="830"/>
      <c r="N182" s="830"/>
    </row>
    <row r="183" spans="1:14" x14ac:dyDescent="0.3">
      <c r="A183" s="830"/>
      <c r="B183" s="830"/>
      <c r="C183" s="830"/>
      <c r="D183" s="830"/>
      <c r="E183" s="830"/>
      <c r="F183" s="830"/>
      <c r="G183" s="830"/>
      <c r="H183" s="830"/>
      <c r="I183" s="830"/>
      <c r="J183" s="830"/>
      <c r="K183" s="830"/>
      <c r="L183" s="830"/>
      <c r="M183" s="830"/>
      <c r="N183" s="830"/>
    </row>
    <row r="184" spans="1:14" x14ac:dyDescent="0.3">
      <c r="A184" s="830"/>
      <c r="B184" s="830"/>
      <c r="C184" s="830"/>
      <c r="D184" s="830"/>
      <c r="E184" s="830"/>
      <c r="F184" s="830"/>
      <c r="G184" s="830"/>
      <c r="H184" s="830"/>
      <c r="I184" s="830"/>
      <c r="J184" s="830"/>
      <c r="K184" s="830"/>
      <c r="L184" s="830"/>
      <c r="M184" s="830"/>
      <c r="N184" s="830"/>
    </row>
    <row r="185" spans="1:14" x14ac:dyDescent="0.3">
      <c r="A185" s="830"/>
      <c r="B185" s="830"/>
      <c r="C185" s="830"/>
      <c r="D185" s="830"/>
      <c r="E185" s="830"/>
      <c r="F185" s="830"/>
      <c r="G185" s="830"/>
      <c r="H185" s="830"/>
      <c r="I185" s="830"/>
      <c r="J185" s="830"/>
      <c r="K185" s="830"/>
      <c r="L185" s="830"/>
      <c r="M185" s="830"/>
      <c r="N185" s="830"/>
    </row>
    <row r="186" spans="1:14" x14ac:dyDescent="0.3">
      <c r="A186" s="830"/>
      <c r="B186" s="830"/>
      <c r="C186" s="830"/>
      <c r="D186" s="830"/>
      <c r="E186" s="830"/>
      <c r="F186" s="830"/>
      <c r="G186" s="830"/>
      <c r="H186" s="830"/>
      <c r="I186" s="830"/>
      <c r="J186" s="830"/>
      <c r="K186" s="830"/>
      <c r="L186" s="830"/>
      <c r="M186" s="830"/>
      <c r="N186" s="830"/>
    </row>
    <row r="187" spans="1:14" x14ac:dyDescent="0.3">
      <c r="A187" s="830"/>
      <c r="B187" s="830"/>
      <c r="C187" s="830"/>
      <c r="D187" s="830"/>
      <c r="E187" s="830"/>
      <c r="F187" s="830"/>
      <c r="G187" s="830"/>
      <c r="H187" s="830"/>
      <c r="I187" s="830"/>
      <c r="J187" s="830"/>
      <c r="K187" s="830"/>
      <c r="L187" s="830"/>
      <c r="M187" s="830"/>
      <c r="N187" s="830"/>
    </row>
    <row r="188" spans="1:14" x14ac:dyDescent="0.3">
      <c r="A188" s="830"/>
      <c r="B188" s="830"/>
      <c r="C188" s="830"/>
      <c r="D188" s="830"/>
      <c r="E188" s="830"/>
      <c r="F188" s="830"/>
      <c r="G188" s="830"/>
      <c r="H188" s="830"/>
      <c r="I188" s="830"/>
      <c r="J188" s="830"/>
      <c r="K188" s="830"/>
      <c r="L188" s="830"/>
      <c r="M188" s="830"/>
      <c r="N188" s="830"/>
    </row>
    <row r="189" spans="1:14" x14ac:dyDescent="0.3">
      <c r="A189" s="830"/>
      <c r="B189" s="830"/>
      <c r="C189" s="830"/>
      <c r="D189" s="830"/>
      <c r="E189" s="830"/>
      <c r="F189" s="830"/>
      <c r="G189" s="830"/>
      <c r="H189" s="830"/>
      <c r="I189" s="830"/>
      <c r="J189" s="830"/>
      <c r="K189" s="830"/>
      <c r="L189" s="830"/>
      <c r="M189" s="830"/>
      <c r="N189" s="830"/>
    </row>
    <row r="190" spans="1:14" x14ac:dyDescent="0.3">
      <c r="A190" s="830"/>
      <c r="B190" s="830"/>
      <c r="C190" s="830"/>
      <c r="D190" s="830"/>
      <c r="E190" s="830"/>
      <c r="F190" s="830"/>
      <c r="G190" s="830"/>
      <c r="H190" s="830"/>
      <c r="I190" s="830"/>
      <c r="J190" s="830"/>
      <c r="K190" s="830"/>
      <c r="L190" s="830"/>
      <c r="M190" s="830"/>
      <c r="N190" s="830"/>
    </row>
    <row r="191" spans="1:14" x14ac:dyDescent="0.3">
      <c r="A191" s="830"/>
      <c r="B191" s="830"/>
      <c r="C191" s="830"/>
      <c r="D191" s="830"/>
      <c r="E191" s="830"/>
      <c r="F191" s="830"/>
      <c r="G191" s="830"/>
      <c r="H191" s="830"/>
      <c r="I191" s="830"/>
      <c r="J191" s="830"/>
      <c r="K191" s="830"/>
      <c r="L191" s="830"/>
      <c r="M191" s="830"/>
      <c r="N191" s="830"/>
    </row>
    <row r="192" spans="1:14" x14ac:dyDescent="0.3">
      <c r="A192" s="830"/>
      <c r="B192" s="830"/>
      <c r="C192" s="830"/>
      <c r="D192" s="830"/>
      <c r="E192" s="830"/>
      <c r="F192" s="830"/>
      <c r="G192" s="830"/>
      <c r="H192" s="830"/>
      <c r="I192" s="830"/>
      <c r="J192" s="830"/>
      <c r="K192" s="830"/>
      <c r="L192" s="830"/>
      <c r="M192" s="830"/>
      <c r="N192" s="830"/>
    </row>
    <row r="193" spans="1:14" x14ac:dyDescent="0.3">
      <c r="A193" s="830"/>
      <c r="B193" s="830"/>
      <c r="C193" s="830"/>
      <c r="D193" s="830"/>
      <c r="E193" s="830"/>
      <c r="F193" s="830"/>
      <c r="G193" s="830"/>
      <c r="H193" s="830"/>
      <c r="I193" s="830"/>
      <c r="J193" s="830"/>
      <c r="K193" s="830"/>
      <c r="L193" s="830"/>
      <c r="M193" s="830"/>
      <c r="N193" s="830"/>
    </row>
    <row r="194" spans="1:14" x14ac:dyDescent="0.3">
      <c r="A194" s="830"/>
      <c r="B194" s="830"/>
      <c r="C194" s="830"/>
      <c r="D194" s="830"/>
      <c r="E194" s="830"/>
      <c r="F194" s="830"/>
      <c r="G194" s="830"/>
      <c r="H194" s="830"/>
      <c r="I194" s="830"/>
      <c r="J194" s="830"/>
      <c r="K194" s="830"/>
      <c r="L194" s="830"/>
      <c r="M194" s="830"/>
      <c r="N194" s="830"/>
    </row>
    <row r="195" spans="1:14" x14ac:dyDescent="0.3">
      <c r="A195" s="830"/>
      <c r="B195" s="830"/>
      <c r="C195" s="830"/>
      <c r="D195" s="830"/>
      <c r="E195" s="830"/>
      <c r="F195" s="830"/>
      <c r="G195" s="830"/>
      <c r="H195" s="830"/>
      <c r="I195" s="830"/>
      <c r="J195" s="830"/>
      <c r="K195" s="830"/>
      <c r="L195" s="830"/>
      <c r="M195" s="830"/>
      <c r="N195" s="830"/>
    </row>
    <row r="196" spans="1:14" x14ac:dyDescent="0.3">
      <c r="A196" s="830"/>
      <c r="B196" s="830"/>
      <c r="C196" s="830"/>
      <c r="D196" s="830"/>
      <c r="E196" s="830"/>
      <c r="F196" s="830"/>
      <c r="G196" s="830"/>
      <c r="H196" s="830"/>
      <c r="I196" s="830"/>
      <c r="J196" s="830"/>
      <c r="K196" s="830"/>
      <c r="L196" s="830"/>
      <c r="M196" s="830"/>
      <c r="N196" s="830"/>
    </row>
    <row r="197" spans="1:14" x14ac:dyDescent="0.3">
      <c r="A197" s="830"/>
      <c r="B197" s="830"/>
      <c r="C197" s="830"/>
      <c r="D197" s="830"/>
      <c r="E197" s="830"/>
      <c r="F197" s="830"/>
      <c r="G197" s="830"/>
      <c r="H197" s="830"/>
      <c r="I197" s="830"/>
      <c r="J197" s="830"/>
      <c r="K197" s="830"/>
      <c r="L197" s="830"/>
      <c r="M197" s="830"/>
      <c r="N197" s="830"/>
    </row>
    <row r="198" spans="1:14" x14ac:dyDescent="0.3">
      <c r="A198" s="830"/>
      <c r="B198" s="830"/>
      <c r="C198" s="830"/>
      <c r="D198" s="830"/>
      <c r="E198" s="830"/>
      <c r="F198" s="830"/>
      <c r="G198" s="830"/>
      <c r="H198" s="830"/>
      <c r="I198" s="830"/>
      <c r="J198" s="830"/>
      <c r="K198" s="830"/>
      <c r="L198" s="830"/>
      <c r="M198" s="830"/>
      <c r="N198" s="830"/>
    </row>
    <row r="199" spans="1:14" x14ac:dyDescent="0.3">
      <c r="A199" s="830"/>
      <c r="B199" s="830"/>
      <c r="C199" s="830"/>
      <c r="D199" s="830"/>
      <c r="E199" s="830"/>
      <c r="F199" s="830"/>
      <c r="G199" s="830"/>
      <c r="H199" s="830"/>
      <c r="I199" s="830"/>
      <c r="J199" s="830"/>
      <c r="K199" s="830"/>
      <c r="L199" s="830"/>
      <c r="M199" s="830"/>
      <c r="N199" s="830"/>
    </row>
    <row r="200" spans="1:14" x14ac:dyDescent="0.3">
      <c r="A200" s="830"/>
      <c r="B200" s="830"/>
      <c r="C200" s="830"/>
      <c r="D200" s="830"/>
      <c r="E200" s="830"/>
      <c r="F200" s="830"/>
      <c r="G200" s="830"/>
      <c r="H200" s="830"/>
      <c r="I200" s="830"/>
      <c r="J200" s="830"/>
      <c r="K200" s="830"/>
      <c r="L200" s="830"/>
      <c r="M200" s="830"/>
      <c r="N200" s="830"/>
    </row>
    <row r="201" spans="1:14" x14ac:dyDescent="0.3">
      <c r="A201" s="830"/>
      <c r="B201" s="830"/>
      <c r="C201" s="830"/>
      <c r="D201" s="830"/>
      <c r="E201" s="830"/>
      <c r="F201" s="830"/>
      <c r="G201" s="830"/>
      <c r="H201" s="830"/>
      <c r="I201" s="830"/>
      <c r="J201" s="830"/>
      <c r="K201" s="830"/>
      <c r="L201" s="830"/>
      <c r="M201" s="830"/>
      <c r="N201" s="830"/>
    </row>
    <row r="202" spans="1:14" x14ac:dyDescent="0.3">
      <c r="A202" s="830"/>
      <c r="B202" s="830"/>
      <c r="C202" s="830"/>
      <c r="D202" s="830"/>
      <c r="E202" s="830"/>
      <c r="F202" s="830"/>
      <c r="G202" s="830"/>
      <c r="H202" s="830"/>
      <c r="I202" s="830"/>
      <c r="J202" s="830"/>
      <c r="K202" s="830"/>
      <c r="L202" s="830"/>
      <c r="M202" s="830"/>
      <c r="N202" s="830"/>
    </row>
    <row r="203" spans="1:14" x14ac:dyDescent="0.3">
      <c r="A203" s="830"/>
      <c r="B203" s="830"/>
      <c r="C203" s="830"/>
      <c r="D203" s="830"/>
      <c r="E203" s="830"/>
      <c r="F203" s="830"/>
      <c r="G203" s="830"/>
      <c r="H203" s="830"/>
      <c r="I203" s="830"/>
      <c r="J203" s="830"/>
      <c r="K203" s="830"/>
      <c r="L203" s="830"/>
      <c r="M203" s="830"/>
      <c r="N203" s="830"/>
    </row>
    <row r="204" spans="1:14" x14ac:dyDescent="0.3">
      <c r="A204" s="830"/>
      <c r="B204" s="830"/>
      <c r="C204" s="830"/>
      <c r="D204" s="830"/>
      <c r="E204" s="830"/>
      <c r="F204" s="830"/>
      <c r="G204" s="830"/>
      <c r="H204" s="830"/>
      <c r="I204" s="830"/>
      <c r="J204" s="830"/>
      <c r="K204" s="830"/>
      <c r="L204" s="830"/>
      <c r="M204" s="830"/>
      <c r="N204" s="830"/>
    </row>
    <row r="205" spans="1:14" x14ac:dyDescent="0.3">
      <c r="A205" s="830"/>
      <c r="B205" s="830"/>
      <c r="C205" s="830"/>
      <c r="D205" s="830"/>
      <c r="E205" s="830"/>
      <c r="F205" s="830"/>
      <c r="G205" s="830"/>
      <c r="H205" s="830"/>
      <c r="I205" s="830"/>
      <c r="J205" s="830"/>
      <c r="K205" s="830"/>
      <c r="L205" s="830"/>
      <c r="M205" s="830"/>
      <c r="N205" s="830"/>
    </row>
    <row r="206" spans="1:14" x14ac:dyDescent="0.3">
      <c r="A206" s="830"/>
      <c r="B206" s="830"/>
      <c r="C206" s="830"/>
      <c r="D206" s="830"/>
      <c r="E206" s="830"/>
      <c r="F206" s="830"/>
      <c r="G206" s="830"/>
      <c r="H206" s="830"/>
      <c r="I206" s="830"/>
      <c r="J206" s="830"/>
      <c r="K206" s="830"/>
      <c r="L206" s="830"/>
      <c r="M206" s="830"/>
      <c r="N206" s="830"/>
    </row>
    <row r="207" spans="1:14" x14ac:dyDescent="0.3">
      <c r="A207" s="830"/>
      <c r="B207" s="830"/>
      <c r="C207" s="830"/>
      <c r="D207" s="830"/>
      <c r="E207" s="830"/>
      <c r="F207" s="830"/>
      <c r="G207" s="830"/>
      <c r="H207" s="830"/>
      <c r="I207" s="830"/>
      <c r="J207" s="830"/>
      <c r="K207" s="830"/>
      <c r="L207" s="830"/>
      <c r="M207" s="830"/>
      <c r="N207" s="830"/>
    </row>
    <row r="208" spans="1:14" x14ac:dyDescent="0.3">
      <c r="A208" s="830"/>
      <c r="B208" s="830"/>
      <c r="C208" s="830"/>
      <c r="D208" s="830"/>
      <c r="E208" s="830"/>
      <c r="F208" s="830"/>
      <c r="G208" s="830"/>
      <c r="H208" s="830"/>
      <c r="I208" s="830"/>
      <c r="J208" s="830"/>
      <c r="K208" s="830"/>
      <c r="L208" s="830"/>
      <c r="M208" s="830"/>
      <c r="N208" s="830"/>
    </row>
    <row r="209" spans="1:14" x14ac:dyDescent="0.3">
      <c r="A209" s="830"/>
      <c r="B209" s="830"/>
      <c r="C209" s="830"/>
      <c r="D209" s="830"/>
      <c r="E209" s="830"/>
      <c r="F209" s="830"/>
      <c r="G209" s="830"/>
      <c r="H209" s="830"/>
      <c r="I209" s="830"/>
      <c r="J209" s="831"/>
      <c r="K209" s="831"/>
      <c r="L209" s="831"/>
      <c r="M209" s="831"/>
      <c r="N209" s="831"/>
    </row>
    <row r="210" spans="1:14" x14ac:dyDescent="0.3">
      <c r="A210" s="830"/>
      <c r="B210" s="830"/>
      <c r="C210" s="830"/>
      <c r="D210" s="830"/>
      <c r="E210" s="830"/>
      <c r="F210" s="830"/>
      <c r="G210" s="830"/>
      <c r="H210" s="830"/>
      <c r="I210" s="830"/>
    </row>
    <row r="211" spans="1:14" x14ac:dyDescent="0.3">
      <c r="A211" s="830"/>
      <c r="B211" s="830"/>
      <c r="C211" s="830"/>
      <c r="D211" s="830"/>
      <c r="E211" s="830"/>
      <c r="F211" s="830"/>
      <c r="G211" s="830"/>
      <c r="H211" s="830"/>
      <c r="I211" s="830"/>
    </row>
    <row r="212" spans="1:14" x14ac:dyDescent="0.3">
      <c r="A212" s="830"/>
      <c r="B212" s="830"/>
      <c r="C212" s="830"/>
      <c r="D212" s="830"/>
      <c r="E212" s="830"/>
      <c r="F212" s="830"/>
      <c r="G212" s="830"/>
      <c r="H212" s="830"/>
      <c r="I212" s="830"/>
    </row>
    <row r="213" spans="1:14" x14ac:dyDescent="0.3">
      <c r="A213" s="830"/>
      <c r="B213" s="830"/>
      <c r="C213" s="830"/>
      <c r="D213" s="830"/>
      <c r="E213" s="830"/>
      <c r="F213" s="830"/>
      <c r="G213" s="830"/>
      <c r="H213" s="830"/>
      <c r="I213" s="830"/>
    </row>
    <row r="214" spans="1:14" x14ac:dyDescent="0.3">
      <c r="A214" s="830"/>
      <c r="B214" s="830"/>
      <c r="C214" s="830"/>
      <c r="D214" s="830"/>
      <c r="E214" s="830"/>
      <c r="F214" s="830"/>
      <c r="G214" s="830"/>
      <c r="H214" s="830"/>
      <c r="I214" s="830"/>
    </row>
    <row r="215" spans="1:14" x14ac:dyDescent="0.3">
      <c r="A215" s="830"/>
      <c r="B215" s="830"/>
      <c r="C215" s="830"/>
      <c r="D215" s="830"/>
      <c r="E215" s="830"/>
      <c r="F215" s="830"/>
      <c r="G215" s="830"/>
      <c r="H215" s="830"/>
      <c r="I215" s="830"/>
    </row>
    <row r="216" spans="1:14" x14ac:dyDescent="0.3">
      <c r="A216" s="830"/>
      <c r="B216" s="830"/>
      <c r="C216" s="830"/>
      <c r="D216" s="830"/>
      <c r="E216" s="830"/>
      <c r="F216" s="830"/>
      <c r="G216" s="830"/>
      <c r="H216" s="830"/>
      <c r="I216" s="830"/>
    </row>
    <row r="217" spans="1:14" x14ac:dyDescent="0.3">
      <c r="A217" s="830"/>
      <c r="B217" s="830"/>
      <c r="C217" s="830"/>
      <c r="D217" s="830"/>
      <c r="E217" s="830"/>
      <c r="F217" s="830"/>
      <c r="G217" s="830"/>
      <c r="H217" s="830"/>
      <c r="I217" s="830"/>
    </row>
    <row r="218" spans="1:14" x14ac:dyDescent="0.3">
      <c r="A218" s="830"/>
      <c r="B218" s="830"/>
      <c r="C218" s="830"/>
      <c r="D218" s="830"/>
      <c r="E218" s="830"/>
      <c r="F218" s="830"/>
      <c r="G218" s="830"/>
      <c r="H218" s="830"/>
      <c r="I218" s="830"/>
    </row>
    <row r="219" spans="1:14" x14ac:dyDescent="0.3">
      <c r="A219" s="830"/>
      <c r="B219" s="830"/>
      <c r="C219" s="830"/>
      <c r="D219" s="830"/>
      <c r="E219" s="830"/>
      <c r="F219" s="830"/>
      <c r="G219" s="830"/>
      <c r="H219" s="830"/>
      <c r="I219" s="830"/>
    </row>
    <row r="220" spans="1:14" x14ac:dyDescent="0.3">
      <c r="A220" s="830"/>
      <c r="B220" s="830"/>
      <c r="C220" s="830"/>
      <c r="D220" s="830"/>
      <c r="E220" s="830"/>
      <c r="F220" s="830"/>
      <c r="G220" s="830"/>
      <c r="H220" s="830"/>
      <c r="I220" s="830"/>
    </row>
    <row r="221" spans="1:14" x14ac:dyDescent="0.3">
      <c r="A221" s="830"/>
      <c r="B221" s="830"/>
      <c r="C221" s="830"/>
      <c r="D221" s="830"/>
      <c r="E221" s="830"/>
      <c r="F221" s="830"/>
      <c r="G221" s="830"/>
      <c r="H221" s="830"/>
      <c r="I221" s="830"/>
    </row>
    <row r="222" spans="1:14" x14ac:dyDescent="0.3">
      <c r="A222" s="830"/>
      <c r="B222" s="830"/>
      <c r="C222" s="830"/>
      <c r="D222" s="830"/>
      <c r="E222" s="830"/>
      <c r="F222" s="830"/>
      <c r="G222" s="830"/>
      <c r="H222" s="830"/>
      <c r="I222" s="830"/>
    </row>
    <row r="223" spans="1:14" x14ac:dyDescent="0.3">
      <c r="A223" s="830"/>
      <c r="B223" s="830"/>
      <c r="C223" s="830"/>
      <c r="D223" s="830"/>
      <c r="E223" s="830"/>
      <c r="F223" s="830"/>
      <c r="G223" s="830"/>
      <c r="H223" s="830"/>
      <c r="I223" s="830"/>
    </row>
    <row r="224" spans="1:14" x14ac:dyDescent="0.3">
      <c r="A224" s="830"/>
      <c r="B224" s="830"/>
      <c r="C224" s="830"/>
      <c r="D224" s="830"/>
      <c r="E224" s="830"/>
      <c r="F224" s="830"/>
      <c r="G224" s="830"/>
      <c r="H224" s="830"/>
      <c r="I224" s="830"/>
    </row>
    <row r="225" spans="1:9" x14ac:dyDescent="0.3">
      <c r="A225" s="830"/>
      <c r="B225" s="830"/>
      <c r="C225" s="830"/>
      <c r="D225" s="830"/>
      <c r="E225" s="830"/>
      <c r="F225" s="830"/>
      <c r="G225" s="830"/>
      <c r="H225" s="830"/>
      <c r="I225" s="830"/>
    </row>
    <row r="226" spans="1:9" x14ac:dyDescent="0.3">
      <c r="A226" s="830"/>
      <c r="B226" s="830"/>
      <c r="C226" s="830"/>
      <c r="D226" s="830"/>
      <c r="E226" s="830"/>
      <c r="F226" s="830"/>
      <c r="G226" s="830"/>
      <c r="H226" s="830"/>
      <c r="I226" s="830"/>
    </row>
    <row r="227" spans="1:9" x14ac:dyDescent="0.3">
      <c r="A227" s="830"/>
      <c r="B227" s="830"/>
      <c r="C227" s="830"/>
      <c r="D227" s="830"/>
      <c r="E227" s="830"/>
      <c r="F227" s="830"/>
      <c r="G227" s="830"/>
      <c r="H227" s="830"/>
      <c r="I227" s="830"/>
    </row>
    <row r="228" spans="1:9" x14ac:dyDescent="0.3">
      <c r="A228" s="830"/>
      <c r="B228" s="830"/>
      <c r="C228" s="830"/>
      <c r="D228" s="830"/>
      <c r="E228" s="830"/>
      <c r="F228" s="830"/>
      <c r="G228" s="830"/>
      <c r="H228" s="830"/>
      <c r="I228" s="830"/>
    </row>
    <row r="229" spans="1:9" x14ac:dyDescent="0.3">
      <c r="A229" s="830"/>
      <c r="B229" s="830"/>
      <c r="C229" s="830"/>
      <c r="D229" s="830"/>
      <c r="E229" s="830"/>
      <c r="F229" s="830"/>
      <c r="G229" s="830"/>
      <c r="H229" s="830"/>
      <c r="I229" s="830"/>
    </row>
    <row r="230" spans="1:9" x14ac:dyDescent="0.3">
      <c r="A230" s="830"/>
      <c r="B230" s="830"/>
      <c r="C230" s="830"/>
      <c r="D230" s="830"/>
      <c r="E230" s="830"/>
      <c r="F230" s="830"/>
      <c r="G230" s="830"/>
      <c r="H230" s="830"/>
      <c r="I230" s="830"/>
    </row>
    <row r="231" spans="1:9" x14ac:dyDescent="0.3">
      <c r="A231" s="830"/>
      <c r="B231" s="830"/>
      <c r="C231" s="830"/>
      <c r="D231" s="830"/>
      <c r="E231" s="830"/>
      <c r="F231" s="830"/>
      <c r="G231" s="830"/>
      <c r="H231" s="830"/>
      <c r="I231" s="830"/>
    </row>
    <row r="232" spans="1:9" x14ac:dyDescent="0.3">
      <c r="A232" s="830"/>
      <c r="B232" s="830"/>
      <c r="C232" s="830"/>
      <c r="D232" s="830"/>
      <c r="E232" s="830"/>
      <c r="F232" s="830"/>
      <c r="G232" s="830"/>
      <c r="H232" s="830"/>
      <c r="I232" s="830"/>
    </row>
    <row r="233" spans="1:9" x14ac:dyDescent="0.3">
      <c r="A233" s="830"/>
      <c r="B233" s="830"/>
      <c r="C233" s="830"/>
      <c r="D233" s="830"/>
      <c r="E233" s="830"/>
      <c r="F233" s="830"/>
      <c r="G233" s="830"/>
      <c r="H233" s="830"/>
      <c r="I233" s="830"/>
    </row>
    <row r="234" spans="1:9" x14ac:dyDescent="0.3">
      <c r="A234" s="830"/>
      <c r="B234" s="830"/>
      <c r="C234" s="830"/>
      <c r="D234" s="830"/>
      <c r="E234" s="830"/>
      <c r="F234" s="830"/>
      <c r="G234" s="830"/>
      <c r="H234" s="830"/>
      <c r="I234" s="830"/>
    </row>
    <row r="235" spans="1:9" x14ac:dyDescent="0.3">
      <c r="A235" s="830"/>
      <c r="B235" s="830"/>
      <c r="C235" s="830"/>
      <c r="D235" s="830"/>
      <c r="E235" s="830"/>
      <c r="F235" s="830"/>
      <c r="G235" s="830"/>
      <c r="H235" s="830"/>
      <c r="I235" s="830"/>
    </row>
    <row r="236" spans="1:9" x14ac:dyDescent="0.3">
      <c r="A236" s="830"/>
      <c r="B236" s="830"/>
      <c r="C236" s="830"/>
      <c r="D236" s="830"/>
      <c r="E236" s="830"/>
      <c r="F236" s="830"/>
      <c r="G236" s="830"/>
      <c r="H236" s="830"/>
      <c r="I236" s="830"/>
    </row>
    <row r="237" spans="1:9" x14ac:dyDescent="0.3">
      <c r="A237" s="830"/>
      <c r="B237" s="830"/>
      <c r="C237" s="830"/>
      <c r="D237" s="830"/>
      <c r="E237" s="830"/>
      <c r="F237" s="830"/>
      <c r="G237" s="830"/>
      <c r="H237" s="830"/>
      <c r="I237" s="830"/>
    </row>
    <row r="238" spans="1:9" x14ac:dyDescent="0.3">
      <c r="A238" s="830"/>
      <c r="B238" s="830"/>
      <c r="C238" s="830"/>
      <c r="D238" s="830"/>
      <c r="E238" s="830"/>
      <c r="F238" s="830"/>
      <c r="G238" s="830"/>
      <c r="H238" s="830"/>
      <c r="I238" s="830"/>
    </row>
    <row r="239" spans="1:9" x14ac:dyDescent="0.3">
      <c r="A239" s="830"/>
      <c r="B239" s="830"/>
      <c r="C239" s="830"/>
      <c r="D239" s="830"/>
      <c r="E239" s="830"/>
      <c r="F239" s="830"/>
      <c r="G239" s="830"/>
      <c r="H239" s="830"/>
      <c r="I239" s="830"/>
    </row>
    <row r="240" spans="1:9" x14ac:dyDescent="0.3">
      <c r="A240" s="830"/>
      <c r="B240" s="830"/>
      <c r="C240" s="830"/>
      <c r="D240" s="830"/>
      <c r="E240" s="830"/>
      <c r="F240" s="830"/>
      <c r="G240" s="830"/>
      <c r="H240" s="830"/>
      <c r="I240" s="830"/>
    </row>
    <row r="241" spans="1:9" x14ac:dyDescent="0.3">
      <c r="A241" s="830"/>
      <c r="B241" s="830"/>
      <c r="C241" s="830"/>
      <c r="D241" s="830"/>
      <c r="E241" s="830"/>
      <c r="F241" s="830"/>
      <c r="G241" s="830"/>
      <c r="H241" s="830"/>
      <c r="I241" s="830"/>
    </row>
    <row r="242" spans="1:9" x14ac:dyDescent="0.3">
      <c r="A242" s="830"/>
      <c r="B242" s="830"/>
      <c r="C242" s="830"/>
      <c r="D242" s="830"/>
      <c r="E242" s="830"/>
      <c r="F242" s="830"/>
      <c r="G242" s="830"/>
      <c r="H242" s="830"/>
      <c r="I242" s="830"/>
    </row>
    <row r="243" spans="1:9" x14ac:dyDescent="0.3">
      <c r="A243" s="830"/>
      <c r="B243" s="830"/>
      <c r="C243" s="830"/>
      <c r="D243" s="830"/>
      <c r="E243" s="830"/>
      <c r="F243" s="830"/>
      <c r="G243" s="830"/>
      <c r="H243" s="830"/>
      <c r="I243" s="830"/>
    </row>
    <row r="244" spans="1:9" x14ac:dyDescent="0.3">
      <c r="A244" s="830"/>
      <c r="B244" s="830"/>
      <c r="C244" s="830"/>
      <c r="D244" s="830"/>
      <c r="E244" s="830"/>
      <c r="F244" s="830"/>
      <c r="G244" s="830"/>
      <c r="H244" s="830"/>
      <c r="I244" s="830"/>
    </row>
    <row r="245" spans="1:9" x14ac:dyDescent="0.3">
      <c r="A245" s="830"/>
      <c r="B245" s="830"/>
      <c r="C245" s="830"/>
      <c r="D245" s="830"/>
      <c r="E245" s="830"/>
      <c r="F245" s="830"/>
      <c r="G245" s="830"/>
      <c r="H245" s="830"/>
      <c r="I245" s="830"/>
    </row>
    <row r="246" spans="1:9" x14ac:dyDescent="0.3">
      <c r="A246" s="830"/>
      <c r="B246" s="830"/>
      <c r="C246" s="830"/>
      <c r="D246" s="830"/>
      <c r="E246" s="830"/>
      <c r="F246" s="830"/>
      <c r="G246" s="830"/>
      <c r="H246" s="830"/>
      <c r="I246" s="830"/>
    </row>
    <row r="247" spans="1:9" x14ac:dyDescent="0.3">
      <c r="A247" s="830"/>
      <c r="B247" s="830"/>
      <c r="C247" s="830"/>
      <c r="D247" s="830"/>
      <c r="E247" s="830"/>
      <c r="F247" s="830"/>
      <c r="G247" s="830"/>
      <c r="H247" s="830"/>
      <c r="I247" s="830"/>
    </row>
    <row r="248" spans="1:9" x14ac:dyDescent="0.3">
      <c r="A248" s="830"/>
      <c r="B248" s="830"/>
      <c r="C248" s="830"/>
      <c r="D248" s="830"/>
      <c r="E248" s="830"/>
      <c r="F248" s="830"/>
      <c r="G248" s="830"/>
      <c r="H248" s="830"/>
      <c r="I248" s="830"/>
    </row>
    <row r="249" spans="1:9" x14ac:dyDescent="0.3">
      <c r="A249" s="830"/>
      <c r="B249" s="830"/>
      <c r="C249" s="830"/>
      <c r="D249" s="830"/>
      <c r="E249" s="830"/>
      <c r="F249" s="830"/>
      <c r="G249" s="830"/>
      <c r="H249" s="830"/>
      <c r="I249" s="830"/>
    </row>
    <row r="250" spans="1:9" x14ac:dyDescent="0.3">
      <c r="A250" s="830"/>
      <c r="B250" s="830"/>
      <c r="C250" s="830"/>
      <c r="D250" s="830"/>
      <c r="E250" s="830"/>
      <c r="F250" s="830"/>
      <c r="G250" s="830"/>
      <c r="H250" s="830"/>
      <c r="I250" s="830"/>
    </row>
    <row r="251" spans="1:9" x14ac:dyDescent="0.3">
      <c r="A251" s="830"/>
      <c r="B251" s="830"/>
      <c r="C251" s="830"/>
      <c r="D251" s="830"/>
      <c r="E251" s="830"/>
      <c r="F251" s="830"/>
      <c r="G251" s="830"/>
      <c r="H251" s="830"/>
      <c r="I251" s="830"/>
    </row>
    <row r="252" spans="1:9" x14ac:dyDescent="0.3">
      <c r="A252" s="830"/>
      <c r="B252" s="830"/>
      <c r="C252" s="830"/>
      <c r="D252" s="830"/>
      <c r="E252" s="830"/>
      <c r="F252" s="830"/>
      <c r="G252" s="830"/>
      <c r="H252" s="830"/>
      <c r="I252" s="830"/>
    </row>
    <row r="253" spans="1:9" x14ac:dyDescent="0.3">
      <c r="A253" s="830"/>
      <c r="B253" s="830"/>
      <c r="C253" s="830"/>
      <c r="D253" s="830"/>
      <c r="E253" s="830"/>
      <c r="F253" s="830"/>
      <c r="G253" s="830"/>
      <c r="H253" s="830"/>
      <c r="I253" s="830"/>
    </row>
    <row r="254" spans="1:9" x14ac:dyDescent="0.3">
      <c r="A254" s="830"/>
      <c r="B254" s="830"/>
      <c r="C254" s="830"/>
      <c r="D254" s="830"/>
      <c r="E254" s="830"/>
      <c r="F254" s="830"/>
      <c r="G254" s="830"/>
      <c r="H254" s="830"/>
      <c r="I254" s="830"/>
    </row>
    <row r="255" spans="1:9" x14ac:dyDescent="0.3">
      <c r="A255" s="830"/>
      <c r="B255" s="830"/>
      <c r="C255" s="830"/>
      <c r="D255" s="830"/>
      <c r="E255" s="830"/>
      <c r="F255" s="830"/>
      <c r="G255" s="830"/>
      <c r="H255" s="830"/>
      <c r="I255" s="830"/>
    </row>
    <row r="256" spans="1:9" x14ac:dyDescent="0.3">
      <c r="A256" s="830"/>
      <c r="B256" s="830"/>
      <c r="C256" s="830"/>
      <c r="D256" s="830"/>
      <c r="E256" s="830"/>
      <c r="F256" s="830"/>
      <c r="G256" s="830"/>
      <c r="H256" s="830"/>
      <c r="I256" s="830"/>
    </row>
    <row r="257" spans="1:9" x14ac:dyDescent="0.3">
      <c r="A257" s="830"/>
      <c r="B257" s="830"/>
      <c r="C257" s="830"/>
      <c r="D257" s="830"/>
      <c r="E257" s="830"/>
      <c r="F257" s="830"/>
      <c r="G257" s="830"/>
      <c r="H257" s="830"/>
      <c r="I257" s="830"/>
    </row>
    <row r="258" spans="1:9" x14ac:dyDescent="0.3">
      <c r="A258" s="830"/>
      <c r="B258" s="830"/>
      <c r="C258" s="830"/>
      <c r="D258" s="830"/>
      <c r="E258" s="830"/>
      <c r="F258" s="830"/>
      <c r="G258" s="830"/>
      <c r="H258" s="830"/>
      <c r="I258" s="830"/>
    </row>
    <row r="259" spans="1:9" x14ac:dyDescent="0.3">
      <c r="A259" s="830"/>
      <c r="B259" s="830"/>
      <c r="C259" s="830"/>
      <c r="D259" s="830"/>
      <c r="E259" s="830"/>
      <c r="F259" s="830"/>
      <c r="G259" s="830"/>
      <c r="H259" s="830"/>
      <c r="I259" s="830"/>
    </row>
    <row r="260" spans="1:9" x14ac:dyDescent="0.3">
      <c r="A260" s="830"/>
      <c r="B260" s="830"/>
      <c r="C260" s="830"/>
      <c r="D260" s="830"/>
      <c r="E260" s="830"/>
      <c r="F260" s="830"/>
      <c r="G260" s="830"/>
      <c r="H260" s="830"/>
      <c r="I260" s="830"/>
    </row>
    <row r="261" spans="1:9" x14ac:dyDescent="0.3">
      <c r="A261" s="830"/>
      <c r="B261" s="830"/>
      <c r="C261" s="830"/>
      <c r="D261" s="830"/>
      <c r="E261" s="830"/>
      <c r="F261" s="830"/>
      <c r="G261" s="830"/>
      <c r="H261" s="830"/>
      <c r="I261" s="830"/>
    </row>
    <row r="262" spans="1:9" x14ac:dyDescent="0.3">
      <c r="A262" s="830"/>
      <c r="B262" s="830"/>
      <c r="C262" s="830"/>
      <c r="D262" s="830"/>
      <c r="E262" s="830"/>
      <c r="F262" s="830"/>
      <c r="G262" s="830"/>
      <c r="H262" s="830"/>
      <c r="I262" s="830"/>
    </row>
    <row r="263" spans="1:9" x14ac:dyDescent="0.3">
      <c r="A263" s="830"/>
      <c r="B263" s="830"/>
      <c r="C263" s="830"/>
      <c r="D263" s="830"/>
      <c r="E263" s="830"/>
      <c r="F263" s="830"/>
      <c r="G263" s="830"/>
      <c r="H263" s="830"/>
      <c r="I263" s="830"/>
    </row>
    <row r="264" spans="1:9" x14ac:dyDescent="0.3">
      <c r="A264" s="830"/>
      <c r="B264" s="830"/>
      <c r="C264" s="830"/>
      <c r="D264" s="830"/>
      <c r="E264" s="830"/>
      <c r="F264" s="830"/>
      <c r="G264" s="830"/>
      <c r="H264" s="830"/>
      <c r="I264" s="830"/>
    </row>
    <row r="265" spans="1:9" x14ac:dyDescent="0.3">
      <c r="A265" s="830"/>
      <c r="B265" s="830"/>
      <c r="C265" s="830"/>
      <c r="D265" s="830"/>
      <c r="E265" s="830"/>
      <c r="F265" s="830"/>
      <c r="G265" s="830"/>
      <c r="H265" s="830"/>
      <c r="I265" s="830"/>
    </row>
    <row r="266" spans="1:9" x14ac:dyDescent="0.3">
      <c r="A266" s="830"/>
      <c r="B266" s="830"/>
      <c r="C266" s="830"/>
      <c r="D266" s="830"/>
      <c r="E266" s="830"/>
      <c r="F266" s="830"/>
      <c r="G266" s="830"/>
      <c r="H266" s="830"/>
      <c r="I266" s="830"/>
    </row>
    <row r="267" spans="1:9" x14ac:dyDescent="0.3">
      <c r="A267" s="830"/>
      <c r="B267" s="830"/>
      <c r="C267" s="830"/>
      <c r="D267" s="830"/>
      <c r="E267" s="830"/>
      <c r="F267" s="830"/>
      <c r="G267" s="830"/>
      <c r="H267" s="830"/>
      <c r="I267" s="830"/>
    </row>
    <row r="268" spans="1:9" x14ac:dyDescent="0.3">
      <c r="A268" s="830"/>
      <c r="B268" s="830"/>
      <c r="C268" s="830"/>
      <c r="D268" s="830"/>
      <c r="E268" s="830"/>
      <c r="F268" s="830"/>
      <c r="G268" s="830"/>
      <c r="H268" s="830"/>
      <c r="I268" s="830"/>
    </row>
    <row r="269" spans="1:9" x14ac:dyDescent="0.3">
      <c r="A269" s="830"/>
      <c r="B269" s="830"/>
      <c r="C269" s="830"/>
      <c r="D269" s="830"/>
      <c r="E269" s="830"/>
      <c r="F269" s="830"/>
      <c r="G269" s="830"/>
      <c r="H269" s="830"/>
      <c r="I269" s="830"/>
    </row>
    <row r="270" spans="1:9" x14ac:dyDescent="0.3">
      <c r="A270" s="830"/>
      <c r="B270" s="830"/>
      <c r="C270" s="830"/>
      <c r="D270" s="830"/>
      <c r="E270" s="830"/>
      <c r="F270" s="830"/>
      <c r="G270" s="830"/>
      <c r="H270" s="830"/>
      <c r="I270" s="830"/>
    </row>
    <row r="271" spans="1:9" x14ac:dyDescent="0.3">
      <c r="A271" s="830"/>
      <c r="B271" s="830"/>
      <c r="C271" s="830"/>
      <c r="D271" s="830"/>
      <c r="E271" s="830"/>
      <c r="F271" s="830"/>
      <c r="G271" s="830"/>
      <c r="H271" s="830"/>
      <c r="I271" s="830"/>
    </row>
    <row r="272" spans="1:9" x14ac:dyDescent="0.3">
      <c r="A272" s="830"/>
      <c r="B272" s="830"/>
      <c r="C272" s="830"/>
      <c r="D272" s="830"/>
      <c r="E272" s="830"/>
      <c r="F272" s="830"/>
      <c r="G272" s="830"/>
      <c r="H272" s="830"/>
      <c r="I272" s="830"/>
    </row>
    <row r="273" spans="1:9" x14ac:dyDescent="0.3">
      <c r="A273" s="830"/>
      <c r="B273" s="830"/>
      <c r="C273" s="830"/>
      <c r="D273" s="830"/>
      <c r="E273" s="830"/>
      <c r="F273" s="830"/>
      <c r="G273" s="830"/>
      <c r="H273" s="830"/>
      <c r="I273" s="830"/>
    </row>
    <row r="274" spans="1:9" x14ac:dyDescent="0.3">
      <c r="A274" s="830"/>
      <c r="B274" s="830"/>
      <c r="C274" s="830"/>
      <c r="D274" s="830"/>
      <c r="E274" s="830"/>
      <c r="F274" s="830"/>
      <c r="G274" s="830"/>
      <c r="H274" s="830"/>
      <c r="I274" s="830"/>
    </row>
    <row r="275" spans="1:9" x14ac:dyDescent="0.3">
      <c r="A275" s="830"/>
      <c r="B275" s="830"/>
      <c r="C275" s="830"/>
      <c r="D275" s="830"/>
      <c r="E275" s="830"/>
      <c r="F275" s="830"/>
      <c r="G275" s="830"/>
      <c r="H275" s="830"/>
      <c r="I275" s="830"/>
    </row>
    <row r="276" spans="1:9" x14ac:dyDescent="0.3">
      <c r="A276" s="830"/>
      <c r="B276" s="830"/>
      <c r="C276" s="830"/>
      <c r="D276" s="830"/>
      <c r="E276" s="830"/>
      <c r="F276" s="830"/>
      <c r="G276" s="830"/>
      <c r="H276" s="830"/>
      <c r="I276" s="830"/>
    </row>
    <row r="277" spans="1:9" x14ac:dyDescent="0.3">
      <c r="A277" s="830"/>
      <c r="B277" s="830"/>
      <c r="C277" s="830"/>
      <c r="D277" s="830"/>
      <c r="E277" s="830"/>
      <c r="F277" s="830"/>
      <c r="G277" s="830"/>
      <c r="H277" s="830"/>
      <c r="I277" s="830"/>
    </row>
    <row r="278" spans="1:9" x14ac:dyDescent="0.3">
      <c r="A278" s="830"/>
      <c r="B278" s="830"/>
      <c r="C278" s="830"/>
      <c r="D278" s="830"/>
      <c r="E278" s="830"/>
      <c r="F278" s="830"/>
      <c r="G278" s="830"/>
      <c r="H278" s="830"/>
      <c r="I278" s="830"/>
    </row>
    <row r="279" spans="1:9" x14ac:dyDescent="0.3">
      <c r="A279" s="830"/>
      <c r="B279" s="830"/>
      <c r="C279" s="830"/>
      <c r="D279" s="830"/>
      <c r="E279" s="830"/>
      <c r="F279" s="830"/>
      <c r="G279" s="830"/>
      <c r="H279" s="830"/>
      <c r="I279" s="830"/>
    </row>
    <row r="280" spans="1:9" x14ac:dyDescent="0.3">
      <c r="A280" s="830"/>
      <c r="B280" s="830"/>
      <c r="C280" s="830"/>
      <c r="D280" s="830"/>
      <c r="E280" s="830"/>
      <c r="F280" s="830"/>
      <c r="G280" s="830"/>
      <c r="H280" s="830"/>
      <c r="I280" s="830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18"/>
  <sheetViews>
    <sheetView zoomScale="80" zoomScaleNormal="80" workbookViewId="0">
      <selection activeCell="E3" sqref="E3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SU_08002_m+SU_08002_p</f>
        <v>2.0644187499999997</v>
      </c>
      <c r="O2" s="62"/>
    </row>
    <row r="3" spans="1:16" x14ac:dyDescent="0.3">
      <c r="A3" s="102" t="s">
        <v>3</v>
      </c>
      <c r="B3" s="16" t="str">
        <f>'SU A0800'!B3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A0800'!B4</f>
        <v>Rear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4.1288374999999995</v>
      </c>
      <c r="O5" s="62"/>
    </row>
    <row r="6" spans="1:16" x14ac:dyDescent="0.3">
      <c r="A6" s="102" t="s">
        <v>7</v>
      </c>
      <c r="B6" t="s">
        <v>448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ht="28.8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0.15307499999999999</v>
      </c>
      <c r="F11" s="20" t="s">
        <v>212</v>
      </c>
      <c r="G11" s="20"/>
      <c r="H11" s="290"/>
      <c r="I11" s="847" t="s">
        <v>449</v>
      </c>
      <c r="J11" s="786">
        <f>100*65*10^-6</f>
        <v>6.4999999999999997E-3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32">
        <v>10</v>
      </c>
      <c r="B15" s="848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420</v>
      </c>
      <c r="H15" s="817">
        <v>0.25</v>
      </c>
      <c r="I15" s="815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32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46.5</v>
      </c>
      <c r="G16" s="817" t="s">
        <v>413</v>
      </c>
      <c r="H16" s="817">
        <v>3</v>
      </c>
      <c r="I16" s="815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Normal="100" workbookViewId="0"/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453</v>
      </c>
    </row>
  </sheetData>
  <hyperlinks>
    <hyperlink ref="B1" location="SU_08002" display="SU_08002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B4" sqref="B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33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34" t="s">
        <v>1</v>
      </c>
      <c r="K2" s="806">
        <v>81</v>
      </c>
      <c r="L2" s="803"/>
      <c r="M2" s="835" t="s">
        <v>16</v>
      </c>
      <c r="N2" s="807">
        <f>SU_08003_m+SU_08003_p</f>
        <v>3.3779399999999997</v>
      </c>
      <c r="O2" s="276"/>
    </row>
    <row r="3" spans="1:15" x14ac:dyDescent="0.3">
      <c r="A3" s="836" t="s">
        <v>3</v>
      </c>
      <c r="B3" s="16" t="str">
        <f>'SU A0800'!B3</f>
        <v>Suspension &amp; Shocks</v>
      </c>
      <c r="C3" s="803"/>
      <c r="D3" s="835" t="s">
        <v>6</v>
      </c>
      <c r="E3" s="803"/>
      <c r="F3" s="803"/>
      <c r="G3" s="803"/>
      <c r="H3" s="803"/>
      <c r="I3" s="803"/>
      <c r="J3" s="803"/>
      <c r="K3" s="803"/>
      <c r="L3" s="803"/>
      <c r="M3" s="837" t="s">
        <v>4</v>
      </c>
      <c r="N3" s="808">
        <v>1</v>
      </c>
      <c r="O3" s="276"/>
    </row>
    <row r="4" spans="1:15" x14ac:dyDescent="0.3">
      <c r="A4" s="836" t="s">
        <v>5</v>
      </c>
      <c r="B4" s="88" t="str">
        <f>'SU A0800'!B4</f>
        <v>Rear Bell Crank</v>
      </c>
      <c r="C4" s="803"/>
      <c r="D4" s="837" t="s">
        <v>8</v>
      </c>
      <c r="E4" s="803"/>
      <c r="F4" s="803"/>
      <c r="G4" s="803"/>
      <c r="H4" s="803"/>
      <c r="I4" s="803"/>
      <c r="J4" s="835" t="s">
        <v>6</v>
      </c>
      <c r="K4" s="803"/>
      <c r="L4" s="803"/>
      <c r="M4" s="803"/>
      <c r="N4" s="803"/>
      <c r="O4" s="276"/>
    </row>
    <row r="5" spans="1:15" x14ac:dyDescent="0.3">
      <c r="A5" s="836" t="s">
        <v>15</v>
      </c>
      <c r="B5" s="753" t="s">
        <v>441</v>
      </c>
      <c r="C5" s="803"/>
      <c r="D5" s="837" t="s">
        <v>12</v>
      </c>
      <c r="E5" s="803"/>
      <c r="F5" s="803"/>
      <c r="G5" s="803"/>
      <c r="H5" s="803"/>
      <c r="I5" s="803"/>
      <c r="J5" s="837" t="s">
        <v>8</v>
      </c>
      <c r="K5" s="803"/>
      <c r="L5" s="803"/>
      <c r="M5" s="835" t="s">
        <v>9</v>
      </c>
      <c r="N5" s="807">
        <f>N2*N3</f>
        <v>3.3779399999999997</v>
      </c>
      <c r="O5" s="276"/>
    </row>
    <row r="6" spans="1:15" x14ac:dyDescent="0.3">
      <c r="A6" s="836" t="s">
        <v>7</v>
      </c>
      <c r="B6" t="s">
        <v>450</v>
      </c>
      <c r="C6" s="803"/>
      <c r="D6" s="803"/>
      <c r="E6" s="803"/>
      <c r="F6" s="803"/>
      <c r="G6" s="803"/>
      <c r="H6" s="803"/>
      <c r="I6" s="803"/>
      <c r="J6" s="837" t="s">
        <v>12</v>
      </c>
      <c r="K6" s="803"/>
      <c r="L6" s="803"/>
      <c r="M6" s="803"/>
      <c r="N6" s="803"/>
      <c r="O6" s="276"/>
    </row>
    <row r="7" spans="1:15" x14ac:dyDescent="0.3">
      <c r="A7" s="836" t="s">
        <v>10</v>
      </c>
      <c r="B7" s="16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36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38" t="s">
        <v>14</v>
      </c>
      <c r="B10" s="839" t="s">
        <v>19</v>
      </c>
      <c r="C10" s="839" t="s">
        <v>20</v>
      </c>
      <c r="D10" s="840" t="s">
        <v>21</v>
      </c>
      <c r="E10" s="840" t="s">
        <v>22</v>
      </c>
      <c r="F10" s="840" t="s">
        <v>23</v>
      </c>
      <c r="G10" s="840" t="s">
        <v>24</v>
      </c>
      <c r="H10" s="840" t="s">
        <v>25</v>
      </c>
      <c r="I10" s="840" t="s">
        <v>26</v>
      </c>
      <c r="J10" s="840" t="s">
        <v>27</v>
      </c>
      <c r="K10" s="840" t="s">
        <v>28</v>
      </c>
      <c r="L10" s="840" t="s">
        <v>29</v>
      </c>
      <c r="M10" s="840" t="s">
        <v>17</v>
      </c>
      <c r="N10" s="840" t="s">
        <v>18</v>
      </c>
      <c r="O10" s="276"/>
    </row>
    <row r="11" spans="1:15" x14ac:dyDescent="0.3">
      <c r="A11" s="841">
        <v>10</v>
      </c>
      <c r="B11" s="783" t="s">
        <v>375</v>
      </c>
      <c r="C11" s="842" t="s">
        <v>376</v>
      </c>
      <c r="D11" s="815">
        <v>2.25</v>
      </c>
      <c r="E11" s="816">
        <f>J11*K11*L11</f>
        <v>0.36423999999999995</v>
      </c>
      <c r="F11" s="817" t="s">
        <v>212</v>
      </c>
      <c r="G11" s="817"/>
      <c r="H11" s="818"/>
      <c r="I11" s="819" t="s">
        <v>451</v>
      </c>
      <c r="J11" s="819">
        <f>50*58*10^-6</f>
        <v>2.8999999999999998E-3</v>
      </c>
      <c r="K11" s="820">
        <v>1.6E-2</v>
      </c>
      <c r="L11" s="821">
        <v>7850</v>
      </c>
      <c r="M11" s="821">
        <v>1</v>
      </c>
      <c r="N11" s="815">
        <f>D11*E11*M11</f>
        <v>0.81953999999999994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43" t="s">
        <v>18</v>
      </c>
      <c r="N12" s="844">
        <f>N11</f>
        <v>0.81953999999999994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45" t="s">
        <v>14</v>
      </c>
      <c r="B14" s="840" t="s">
        <v>31</v>
      </c>
      <c r="C14" s="840" t="s">
        <v>20</v>
      </c>
      <c r="D14" s="840" t="s">
        <v>21</v>
      </c>
      <c r="E14" s="840" t="s">
        <v>32</v>
      </c>
      <c r="F14" s="840" t="s">
        <v>17</v>
      </c>
      <c r="G14" s="840" t="s">
        <v>33</v>
      </c>
      <c r="H14" s="840" t="s">
        <v>34</v>
      </c>
      <c r="I14" s="840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452</v>
      </c>
      <c r="H15" s="817">
        <v>0.5</v>
      </c>
      <c r="I15" s="815">
        <f>D15*F15*H15</f>
        <v>0.65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20</v>
      </c>
      <c r="G16" s="817" t="s">
        <v>413</v>
      </c>
      <c r="H16" s="817">
        <v>3</v>
      </c>
      <c r="I16" s="815">
        <f>D16*F16*H16</f>
        <v>0.60000000000000009</v>
      </c>
      <c r="J16" s="803"/>
      <c r="K16" s="803"/>
      <c r="L16" s="803"/>
      <c r="M16" s="803"/>
      <c r="N16" s="803"/>
      <c r="O16" s="276"/>
    </row>
    <row r="17" spans="1:15" x14ac:dyDescent="0.3">
      <c r="A17" s="826">
        <v>30</v>
      </c>
      <c r="B17" s="817" t="s">
        <v>39</v>
      </c>
      <c r="C17" s="817"/>
      <c r="D17" s="815">
        <v>1.3</v>
      </c>
      <c r="E17" s="817" t="s">
        <v>35</v>
      </c>
      <c r="F17" s="817">
        <v>1</v>
      </c>
      <c r="G17" s="817"/>
      <c r="H17" s="817"/>
      <c r="I17" s="815">
        <v>1.3</v>
      </c>
      <c r="J17" s="823"/>
      <c r="K17" s="823"/>
      <c r="L17" s="823"/>
      <c r="M17" s="823"/>
      <c r="N17" s="823"/>
      <c r="O17" s="276"/>
    </row>
    <row r="18" spans="1:15" x14ac:dyDescent="0.3">
      <c r="A18" s="826">
        <v>40</v>
      </c>
      <c r="B18" s="817" t="s">
        <v>427</v>
      </c>
      <c r="C18" s="817" t="s">
        <v>409</v>
      </c>
      <c r="D18" s="815">
        <v>0.04</v>
      </c>
      <c r="E18" s="817" t="s">
        <v>161</v>
      </c>
      <c r="F18" s="817">
        <v>7.0000000000000007E-2</v>
      </c>
      <c r="G18" s="817" t="s">
        <v>413</v>
      </c>
      <c r="H18" s="817">
        <v>3</v>
      </c>
      <c r="I18" s="815">
        <f>D18*F18*H18</f>
        <v>8.4000000000000012E-3</v>
      </c>
      <c r="J18" s="803"/>
      <c r="K18" s="803"/>
      <c r="L18" s="803"/>
      <c r="M18" s="803"/>
      <c r="N18" s="803"/>
      <c r="O18" s="276"/>
    </row>
    <row r="19" spans="1:15" x14ac:dyDescent="0.3">
      <c r="A19" s="822"/>
      <c r="B19" s="823"/>
      <c r="C19" s="823"/>
      <c r="D19" s="823"/>
      <c r="E19" s="823"/>
      <c r="F19" s="823"/>
      <c r="G19" s="823"/>
      <c r="H19" s="843" t="s">
        <v>18</v>
      </c>
      <c r="I19" s="846">
        <f>SUM(I15:I18)</f>
        <v>2.5583999999999998</v>
      </c>
      <c r="J19" s="56"/>
      <c r="K19" s="56"/>
      <c r="L19" s="56"/>
      <c r="M19" s="56"/>
      <c r="N19" s="56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6"/>
      <c r="I20" s="807"/>
      <c r="J20" s="56"/>
      <c r="K20" s="56"/>
      <c r="L20" s="56"/>
      <c r="M20" s="56"/>
      <c r="N20" s="56"/>
      <c r="O20" s="276"/>
    </row>
    <row r="21" spans="1:15" ht="15" thickBot="1" x14ac:dyDescent="0.35">
      <c r="A21" s="296"/>
      <c r="B21" s="297"/>
      <c r="C21" s="297"/>
      <c r="D21" s="297"/>
      <c r="E21" s="297"/>
      <c r="F21" s="297"/>
      <c r="G21" s="297"/>
      <c r="H21" s="297"/>
      <c r="I21" s="297"/>
      <c r="J21" s="297"/>
      <c r="K21" s="297"/>
      <c r="L21" s="297"/>
      <c r="M21" s="297"/>
      <c r="N21" s="297"/>
      <c r="O21" s="298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 t="e">
        <f>SU_A1400_pa+SU_A1400_m+SU_A1400_p+SU_A1400_f</f>
        <v>#NAME?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477</v>
      </c>
      <c r="C4" s="721"/>
      <c r="D4" s="56"/>
      <c r="E4" s="56"/>
      <c r="F4" s="56"/>
      <c r="G4" s="56"/>
      <c r="H4" s="56"/>
      <c r="I4" s="56"/>
      <c r="J4" s="977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493</v>
      </c>
      <c r="C5" s="56"/>
      <c r="D5" s="56"/>
      <c r="E5" s="56"/>
      <c r="F5" s="56"/>
      <c r="G5" s="56"/>
      <c r="H5" s="56"/>
      <c r="I5" s="56"/>
      <c r="J5" s="977" t="s">
        <v>8</v>
      </c>
      <c r="K5" s="56"/>
      <c r="L5" s="56"/>
      <c r="M5" s="98" t="s">
        <v>9</v>
      </c>
      <c r="N5" s="80" t="e">
        <f>N2*SU_A1400_q</f>
        <v>#NAME?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77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497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476</v>
      </c>
      <c r="C10" s="289">
        <f>'SU 09001'!N2</f>
        <v>9.0687098494115101</v>
      </c>
      <c r="D10" s="849">
        <v>1</v>
      </c>
      <c r="E10" s="289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5" t="s">
        <v>475</v>
      </c>
      <c r="C11" s="289">
        <f>'SU 09002'!N2</f>
        <v>1.6908095579918243</v>
      </c>
      <c r="D11" s="849">
        <v>2</v>
      </c>
      <c r="E11" s="289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8">
        <v>30</v>
      </c>
      <c r="B12" s="1058" t="str">
        <f>'SU 09003'!B5</f>
        <v>Spacer 1</v>
      </c>
      <c r="C12" s="289">
        <f>'SU 09004'!N2</f>
        <v>0.85844020273977284</v>
      </c>
      <c r="D12" s="850">
        <v>2</v>
      </c>
      <c r="E12" s="289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88">
        <v>40</v>
      </c>
      <c r="B13" s="1058" t="str">
        <f>'SU 09004'!B5</f>
        <v>Spacer 2</v>
      </c>
      <c r="C13" s="289">
        <f>'SU 09003'!N2</f>
        <v>0.75842010136988647</v>
      </c>
      <c r="D13" s="688">
        <v>2</v>
      </c>
      <c r="E13" s="289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893" t="s">
        <v>473</v>
      </c>
      <c r="C17" s="893" t="s">
        <v>474</v>
      </c>
      <c r="D17" s="284">
        <f>0.02*E17^2+1.22</f>
        <v>2.5</v>
      </c>
      <c r="E17" s="893">
        <v>8</v>
      </c>
      <c r="F17" s="893" t="s">
        <v>30</v>
      </c>
      <c r="G17" s="893"/>
      <c r="H17" s="891"/>
      <c r="I17" s="894" t="s">
        <v>471</v>
      </c>
      <c r="J17" s="889"/>
      <c r="K17" s="891"/>
      <c r="L17" s="891"/>
      <c r="M17" s="889">
        <v>1</v>
      </c>
      <c r="N17" s="286">
        <f>D17*M17</f>
        <v>2.5</v>
      </c>
      <c r="O17" s="62"/>
    </row>
    <row r="18" spans="1:15" s="22" customFormat="1" x14ac:dyDescent="0.3">
      <c r="A18" s="72">
        <v>20</v>
      </c>
      <c r="B18" s="893" t="s">
        <v>473</v>
      </c>
      <c r="C18" s="893" t="s">
        <v>472</v>
      </c>
      <c r="D18" s="284">
        <f>0.02*E18^2+1.22</f>
        <v>2.5</v>
      </c>
      <c r="E18" s="893">
        <v>8</v>
      </c>
      <c r="F18" s="893" t="s">
        <v>30</v>
      </c>
      <c r="G18" s="893"/>
      <c r="H18" s="891"/>
      <c r="I18" s="892" t="s">
        <v>471</v>
      </c>
      <c r="J18" s="889"/>
      <c r="K18" s="891"/>
      <c r="L18" s="890"/>
      <c r="M18" s="889">
        <v>1</v>
      </c>
      <c r="N18" s="286">
        <f>D18*M18</f>
        <v>2.5</v>
      </c>
      <c r="O18" s="66"/>
    </row>
    <row r="19" spans="1:15" x14ac:dyDescent="0.3">
      <c r="A19" s="67"/>
      <c r="B19" s="888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8" t="s">
        <v>142</v>
      </c>
      <c r="C22" s="886" t="s">
        <v>226</v>
      </c>
      <c r="D22" s="285">
        <v>0.02</v>
      </c>
      <c r="E22" s="886" t="s">
        <v>140</v>
      </c>
      <c r="F22" s="884">
        <v>6.6</v>
      </c>
      <c r="G22" s="887"/>
      <c r="H22" s="884">
        <v>1</v>
      </c>
      <c r="I22" s="285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88" t="s">
        <v>142</v>
      </c>
      <c r="C23" s="886" t="s">
        <v>470</v>
      </c>
      <c r="D23" s="285">
        <v>0.02</v>
      </c>
      <c r="E23" s="886" t="s">
        <v>140</v>
      </c>
      <c r="F23" s="884">
        <v>6.6</v>
      </c>
      <c r="G23" s="884"/>
      <c r="H23" s="884">
        <v>1</v>
      </c>
      <c r="I23" s="285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85" t="s">
        <v>469</v>
      </c>
      <c r="C24" s="883" t="s">
        <v>468</v>
      </c>
      <c r="D24" s="74">
        <v>0.02</v>
      </c>
      <c r="E24" s="883" t="s">
        <v>467</v>
      </c>
      <c r="F24" s="884">
        <v>6.6</v>
      </c>
      <c r="G24" s="883"/>
      <c r="H24" s="883">
        <v>1</v>
      </c>
      <c r="I24" s="285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55" t="s">
        <v>363</v>
      </c>
      <c r="C25" s="881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85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55" t="s">
        <v>465</v>
      </c>
      <c r="C26" s="881" t="s">
        <v>464</v>
      </c>
      <c r="D26" s="74">
        <v>0.5</v>
      </c>
      <c r="E26" s="882" t="s">
        <v>35</v>
      </c>
      <c r="F26" s="72">
        <v>2</v>
      </c>
      <c r="G26" s="72"/>
      <c r="H26" s="72">
        <v>1</v>
      </c>
      <c r="I26" s="285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55" t="s">
        <v>463</v>
      </c>
      <c r="C27" s="881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85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55" t="s">
        <v>368</v>
      </c>
      <c r="C28" s="881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85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81" t="s">
        <v>360</v>
      </c>
      <c r="C29" s="881" t="s">
        <v>462</v>
      </c>
      <c r="D29" s="880">
        <v>0.06</v>
      </c>
      <c r="E29" s="879" t="s">
        <v>35</v>
      </c>
      <c r="F29" s="879">
        <v>2</v>
      </c>
      <c r="G29" s="879"/>
      <c r="H29" s="879">
        <v>1</v>
      </c>
      <c r="I29" s="285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81" t="s">
        <v>360</v>
      </c>
      <c r="C30" s="881" t="s">
        <v>399</v>
      </c>
      <c r="D30" s="880">
        <v>0.06</v>
      </c>
      <c r="E30" s="879" t="s">
        <v>35</v>
      </c>
      <c r="F30" s="879">
        <v>2</v>
      </c>
      <c r="G30" s="879"/>
      <c r="H30" s="879">
        <v>1</v>
      </c>
      <c r="I30" s="285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55" t="s">
        <v>363</v>
      </c>
      <c r="C31" s="881" t="s">
        <v>461</v>
      </c>
      <c r="D31" s="880">
        <v>0.12</v>
      </c>
      <c r="E31" s="879" t="s">
        <v>35</v>
      </c>
      <c r="F31" s="879">
        <v>1</v>
      </c>
      <c r="G31" s="879"/>
      <c r="H31" s="879">
        <v>1</v>
      </c>
      <c r="I31" s="285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79" t="s">
        <v>360</v>
      </c>
      <c r="C32" s="881" t="s">
        <v>460</v>
      </c>
      <c r="D32" s="880">
        <v>0.06</v>
      </c>
      <c r="E32" s="879" t="s">
        <v>35</v>
      </c>
      <c r="F32" s="879">
        <v>2</v>
      </c>
      <c r="G32" s="879"/>
      <c r="H32" s="879">
        <v>1</v>
      </c>
      <c r="I32" s="285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79" t="s">
        <v>360</v>
      </c>
      <c r="C33" s="881" t="s">
        <v>459</v>
      </c>
      <c r="D33" s="880">
        <v>0.06</v>
      </c>
      <c r="E33" s="879" t="s">
        <v>35</v>
      </c>
      <c r="F33" s="879">
        <v>2</v>
      </c>
      <c r="G33" s="879"/>
      <c r="H33" s="879">
        <v>1</v>
      </c>
      <c r="I33" s="285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55" t="s">
        <v>363</v>
      </c>
      <c r="C34" s="881" t="s">
        <v>458</v>
      </c>
      <c r="D34" s="880">
        <v>0.12</v>
      </c>
      <c r="E34" s="879" t="s">
        <v>35</v>
      </c>
      <c r="F34" s="879">
        <v>1</v>
      </c>
      <c r="G34" s="879"/>
      <c r="H34" s="879">
        <v>1</v>
      </c>
      <c r="I34" s="285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55" t="s">
        <v>363</v>
      </c>
      <c r="C35" s="881" t="s">
        <v>365</v>
      </c>
      <c r="D35" s="880">
        <v>0.12</v>
      </c>
      <c r="E35" s="879" t="s">
        <v>35</v>
      </c>
      <c r="F35" s="879">
        <v>2</v>
      </c>
      <c r="G35" s="879"/>
      <c r="H35" s="879">
        <v>1</v>
      </c>
      <c r="I35" s="285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55" t="s">
        <v>366</v>
      </c>
      <c r="C36" s="881" t="s">
        <v>367</v>
      </c>
      <c r="D36" s="880">
        <v>0.75</v>
      </c>
      <c r="E36" s="879" t="s">
        <v>35</v>
      </c>
      <c r="F36" s="879">
        <v>2</v>
      </c>
      <c r="G36" s="879"/>
      <c r="H36" s="879">
        <v>1</v>
      </c>
      <c r="I36" s="285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55" t="s">
        <v>368</v>
      </c>
      <c r="C37" s="881" t="s">
        <v>367</v>
      </c>
      <c r="D37" s="880">
        <v>0.25</v>
      </c>
      <c r="E37" s="879" t="s">
        <v>35</v>
      </c>
      <c r="F37" s="879">
        <v>2</v>
      </c>
      <c r="G37" s="879"/>
      <c r="H37" s="879">
        <v>1</v>
      </c>
      <c r="I37" s="285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6">
        <f>0.8/105154*E41^2*G41*SQRT(G41)+0.003*EXP(0.319*E41)</f>
        <v>0.18547981844542938</v>
      </c>
      <c r="E41" s="677">
        <v>8</v>
      </c>
      <c r="F41" s="677" t="s">
        <v>30</v>
      </c>
      <c r="G41" s="677">
        <v>45</v>
      </c>
      <c r="H41" s="677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6">
        <f>0.8/105154*E42^2*G42*SQRT(G42)+0.003*EXP(0.319*E42)</f>
        <v>0.18547981844542938</v>
      </c>
      <c r="E42" s="677">
        <v>8</v>
      </c>
      <c r="F42" s="677" t="s">
        <v>30</v>
      </c>
      <c r="G42" s="677">
        <v>45</v>
      </c>
      <c r="H42" s="677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371</v>
      </c>
      <c r="C43" s="72"/>
      <c r="D43" s="676">
        <v>0.01</v>
      </c>
      <c r="E43" s="72">
        <v>8</v>
      </c>
      <c r="F43" s="678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372</v>
      </c>
      <c r="C44" s="72" t="s">
        <v>455</v>
      </c>
      <c r="D44" s="676">
        <f>0.009*EXP(0.2*E44)</f>
        <v>2.9881052304628931E-2</v>
      </c>
      <c r="E44" s="72">
        <v>6</v>
      </c>
      <c r="F44" s="678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372</v>
      </c>
      <c r="C45" s="72" t="s">
        <v>454</v>
      </c>
      <c r="D45" s="676">
        <f>0.009*EXP(0.2*E45)</f>
        <v>4.4577291819556032E-2</v>
      </c>
      <c r="E45" s="72">
        <v>8</v>
      </c>
      <c r="F45" s="678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8" max="16383" man="1"/>
  </rowBreaks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79"/>
  <sheetViews>
    <sheetView zoomScale="90" zoomScaleNormal="90" workbookViewId="0">
      <selection activeCell="F2" sqref="F2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N12+I16</f>
        <v>9.0687098494115101</v>
      </c>
      <c r="O2" s="276"/>
    </row>
    <row r="3" spans="1:15" x14ac:dyDescent="0.3">
      <c r="A3" s="938" t="s">
        <v>3</v>
      </c>
      <c r="B3" s="16" t="str">
        <f>'SU A0900'!B3</f>
        <v>Suspension &amp; Shocks</v>
      </c>
      <c r="C3" s="936"/>
      <c r="D3" s="914" t="s">
        <v>6</v>
      </c>
      <c r="E3" s="88"/>
      <c r="F3" s="936"/>
      <c r="G3" s="936"/>
      <c r="H3" s="936"/>
      <c r="I3" s="936"/>
      <c r="J3" s="936"/>
      <c r="K3" s="936"/>
      <c r="L3" s="936"/>
      <c r="M3" s="913" t="s">
        <v>4</v>
      </c>
      <c r="N3" s="940">
        <v>1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496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N2*N3</f>
        <v>9.0687098494115101</v>
      </c>
      <c r="O5" s="276"/>
    </row>
    <row r="6" spans="1:15" x14ac:dyDescent="0.3">
      <c r="A6" s="938" t="s">
        <v>7</v>
      </c>
      <c r="B6" t="s">
        <v>494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5" customHeight="1" x14ac:dyDescent="0.3">
      <c r="A11" s="978">
        <v>10</v>
      </c>
      <c r="B11" s="813" t="s">
        <v>482</v>
      </c>
      <c r="C11" s="912" t="s">
        <v>481</v>
      </c>
      <c r="D11" s="905">
        <v>200</v>
      </c>
      <c r="E11" s="911">
        <f>J11*K11*L11</f>
        <v>4.0305377108495605E-2</v>
      </c>
      <c r="F11" s="910" t="s">
        <v>212</v>
      </c>
      <c r="G11" s="910"/>
      <c r="H11" s="909"/>
      <c r="I11" s="908" t="s">
        <v>480</v>
      </c>
      <c r="J11" s="908">
        <f>PI()*((8*10^-3)^2-(6*10^-3)^2)</f>
        <v>8.7964594300514196E-5</v>
      </c>
      <c r="K11" s="907">
        <v>0.28999999999999998</v>
      </c>
      <c r="L11" s="906">
        <v>1580</v>
      </c>
      <c r="M11" s="906">
        <v>1</v>
      </c>
      <c r="N11" s="905">
        <f>D11*E11</f>
        <v>8.0610754216991207</v>
      </c>
      <c r="O11" s="276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8.0610754216991207</v>
      </c>
      <c r="O12" s="276"/>
    </row>
    <row r="13" spans="1:15" x14ac:dyDescent="0.3">
      <c r="A13" s="937"/>
      <c r="B13" s="936"/>
      <c r="C13" s="936"/>
      <c r="D13" s="936"/>
      <c r="E13" s="936"/>
      <c r="F13" s="936"/>
      <c r="G13" s="936"/>
      <c r="H13" s="936"/>
      <c r="I13" s="936"/>
      <c r="J13" s="936"/>
      <c r="K13" s="936"/>
      <c r="L13" s="936"/>
      <c r="M13" s="936"/>
      <c r="N13" s="936"/>
      <c r="O13" s="276"/>
    </row>
    <row r="14" spans="1:15" x14ac:dyDescent="0.3">
      <c r="A14" s="931" t="s">
        <v>14</v>
      </c>
      <c r="B14" s="903" t="s">
        <v>31</v>
      </c>
      <c r="C14" s="903" t="s">
        <v>20</v>
      </c>
      <c r="D14" s="903" t="s">
        <v>21</v>
      </c>
      <c r="E14" s="903" t="s">
        <v>32</v>
      </c>
      <c r="F14" s="903" t="s">
        <v>17</v>
      </c>
      <c r="G14" s="903" t="s">
        <v>33</v>
      </c>
      <c r="H14" s="903" t="s">
        <v>34</v>
      </c>
      <c r="I14" s="903" t="s">
        <v>18</v>
      </c>
      <c r="J14" s="921"/>
      <c r="K14" s="921"/>
      <c r="L14" s="921"/>
      <c r="M14" s="921"/>
      <c r="N14" s="921"/>
      <c r="O14" s="276"/>
    </row>
    <row r="15" spans="1:15" x14ac:dyDescent="0.3">
      <c r="A15" s="979">
        <v>10</v>
      </c>
      <c r="B15" s="255" t="s">
        <v>479</v>
      </c>
      <c r="C15" s="901" t="s">
        <v>478</v>
      </c>
      <c r="D15" s="259">
        <v>25</v>
      </c>
      <c r="E15" s="255" t="s">
        <v>212</v>
      </c>
      <c r="F15" s="900">
        <f>E11</f>
        <v>4.0305377108495605E-2</v>
      </c>
      <c r="G15" s="899"/>
      <c r="H15" s="899"/>
      <c r="I15" s="32">
        <f>D15*F15</f>
        <v>1.0076344277123901</v>
      </c>
      <c r="J15" s="936"/>
      <c r="K15" s="936"/>
      <c r="L15" s="936"/>
      <c r="M15" s="936"/>
      <c r="N15" s="936"/>
      <c r="O15" s="276"/>
    </row>
    <row r="16" spans="1:15" x14ac:dyDescent="0.3">
      <c r="A16" s="922"/>
      <c r="B16" s="921"/>
      <c r="C16" s="921"/>
      <c r="D16" s="921"/>
      <c r="E16" s="921"/>
      <c r="F16" s="921"/>
      <c r="G16" s="921"/>
      <c r="H16" s="898" t="s">
        <v>18</v>
      </c>
      <c r="I16" s="897">
        <f>I15</f>
        <v>1.0076344277123901</v>
      </c>
      <c r="J16" s="921"/>
      <c r="K16" s="921"/>
      <c r="L16" s="921"/>
      <c r="M16" s="921"/>
      <c r="N16" s="921"/>
      <c r="O16" s="276"/>
    </row>
    <row r="17" spans="1:15" ht="15" thickBot="1" x14ac:dyDescent="0.35">
      <c r="A17" s="980"/>
      <c r="B17" s="981"/>
      <c r="C17" s="981"/>
      <c r="D17" s="981"/>
      <c r="E17" s="981"/>
      <c r="F17" s="981"/>
      <c r="G17" s="981"/>
      <c r="H17" s="982"/>
      <c r="I17" s="983"/>
      <c r="J17" s="981"/>
      <c r="K17" s="981"/>
      <c r="L17" s="981"/>
      <c r="M17" s="981"/>
      <c r="N17" s="981"/>
      <c r="O17" s="298"/>
    </row>
    <row r="18" spans="1:15" x14ac:dyDescent="0.3">
      <c r="A18" s="895"/>
      <c r="B18" s="895"/>
      <c r="C18" s="895"/>
      <c r="D18" s="895"/>
      <c r="E18" s="895"/>
      <c r="F18" s="895"/>
      <c r="G18" s="895"/>
      <c r="H18" s="895"/>
      <c r="I18" s="895"/>
      <c r="J18" s="895"/>
      <c r="K18" s="895"/>
      <c r="L18" s="895"/>
      <c r="M18" s="895"/>
      <c r="N18" s="895"/>
    </row>
    <row r="19" spans="1:15" x14ac:dyDescent="0.3">
      <c r="A19" s="895"/>
      <c r="B19" s="895"/>
      <c r="C19" s="895"/>
      <c r="D19" s="895"/>
      <c r="E19" s="895"/>
      <c r="F19" s="895"/>
      <c r="G19" s="895"/>
      <c r="H19" s="895"/>
      <c r="I19" s="895"/>
      <c r="J19" s="895"/>
      <c r="K19" s="895"/>
      <c r="L19" s="895"/>
      <c r="M19" s="895"/>
      <c r="N19" s="895"/>
    </row>
    <row r="20" spans="1:15" x14ac:dyDescent="0.3">
      <c r="A20" s="895"/>
      <c r="B20" s="895"/>
      <c r="C20" s="895"/>
      <c r="D20" s="895"/>
      <c r="E20" s="895"/>
      <c r="F20" s="895"/>
      <c r="G20" s="895"/>
      <c r="H20" s="895"/>
      <c r="I20" s="895"/>
      <c r="J20" s="895"/>
      <c r="K20" s="895"/>
      <c r="L20" s="895"/>
      <c r="M20" s="895"/>
      <c r="N20" s="895"/>
    </row>
    <row r="21" spans="1:15" x14ac:dyDescent="0.3">
      <c r="A21" s="895"/>
      <c r="B21" s="895"/>
      <c r="C21" s="895"/>
      <c r="D21" s="895"/>
      <c r="E21" s="895"/>
      <c r="F21" s="895"/>
      <c r="G21" s="895"/>
      <c r="H21" s="895"/>
      <c r="I21" s="895"/>
      <c r="J21" s="895"/>
      <c r="K21" s="895"/>
      <c r="L21" s="895"/>
      <c r="M21" s="895"/>
      <c r="N21" s="895"/>
    </row>
    <row r="22" spans="1:15" x14ac:dyDescent="0.3">
      <c r="A22" s="16"/>
      <c r="B22" s="895"/>
      <c r="C22" s="895"/>
      <c r="D22" s="895"/>
      <c r="E22" s="895"/>
      <c r="F22" s="895"/>
      <c r="G22" s="895"/>
      <c r="H22" s="895"/>
      <c r="I22" s="895"/>
      <c r="J22" s="895"/>
      <c r="K22" s="895"/>
      <c r="L22" s="895"/>
      <c r="M22" s="895"/>
      <c r="N22" s="895"/>
    </row>
    <row r="23" spans="1:15" x14ac:dyDescent="0.3">
      <c r="A23" s="16"/>
      <c r="B23" s="895"/>
      <c r="C23" s="895"/>
      <c r="D23" s="895"/>
      <c r="E23" s="895"/>
      <c r="F23" s="895"/>
      <c r="G23" s="895"/>
      <c r="H23" s="895"/>
      <c r="I23" s="895"/>
      <c r="J23" s="895"/>
      <c r="K23" s="895"/>
      <c r="L23" s="895"/>
      <c r="M23" s="895"/>
      <c r="N23" s="895"/>
    </row>
    <row r="24" spans="1:15" x14ac:dyDescent="0.3">
      <c r="A24" s="88"/>
      <c r="B24" s="895"/>
      <c r="C24" s="895"/>
      <c r="D24" s="895"/>
      <c r="E24" s="895"/>
      <c r="F24" s="895"/>
      <c r="G24" s="895"/>
      <c r="H24" s="895"/>
      <c r="I24" s="895"/>
      <c r="J24" s="895"/>
      <c r="K24" s="895"/>
      <c r="L24" s="895"/>
      <c r="M24" s="895"/>
      <c r="N24" s="895"/>
    </row>
    <row r="25" spans="1:15" x14ac:dyDescent="0.3">
      <c r="A25" s="18"/>
      <c r="B25" s="895"/>
      <c r="C25" s="895"/>
      <c r="D25" s="895"/>
      <c r="E25" s="895"/>
      <c r="F25" s="895"/>
      <c r="G25" s="895"/>
      <c r="H25" s="895"/>
      <c r="I25" s="895"/>
      <c r="J25" s="895"/>
      <c r="K25" s="895"/>
      <c r="L25" s="895"/>
      <c r="M25" s="895"/>
      <c r="N25" s="895"/>
    </row>
    <row r="26" spans="1:15" x14ac:dyDescent="0.3">
      <c r="A26" s="28"/>
      <c r="B26" s="895"/>
      <c r="C26" s="895"/>
      <c r="D26" s="895"/>
      <c r="E26" s="895"/>
      <c r="F26" s="895"/>
      <c r="G26" s="895"/>
      <c r="H26" s="895"/>
      <c r="I26" s="895"/>
      <c r="J26" s="895"/>
      <c r="K26" s="895"/>
      <c r="L26" s="895"/>
      <c r="M26" s="895"/>
      <c r="N26" s="895"/>
    </row>
    <row r="27" spans="1:15" x14ac:dyDescent="0.3">
      <c r="A27" s="16"/>
      <c r="B27" s="895"/>
      <c r="C27" s="895"/>
      <c r="D27" s="895"/>
      <c r="E27" s="895"/>
      <c r="F27" s="895"/>
      <c r="G27" s="895"/>
      <c r="H27" s="895"/>
      <c r="I27" s="895"/>
      <c r="J27" s="895"/>
      <c r="K27" s="895"/>
      <c r="L27" s="895"/>
      <c r="M27" s="895"/>
      <c r="N27" s="895"/>
    </row>
    <row r="28" spans="1:15" x14ac:dyDescent="0.3">
      <c r="A28" s="16"/>
      <c r="B28" s="895"/>
      <c r="C28" s="895"/>
      <c r="D28" s="895"/>
      <c r="E28" s="895"/>
      <c r="F28" s="895"/>
      <c r="G28" s="895"/>
      <c r="H28" s="895"/>
      <c r="I28" s="895"/>
      <c r="J28" s="895"/>
      <c r="K28" s="895"/>
      <c r="L28" s="895"/>
      <c r="M28" s="895"/>
      <c r="N28" s="895"/>
    </row>
    <row r="29" spans="1:15" x14ac:dyDescent="0.3">
      <c r="A29" s="895"/>
      <c r="B29" s="895"/>
      <c r="C29" s="895"/>
      <c r="D29" s="895"/>
      <c r="E29" s="895"/>
      <c r="F29" s="895"/>
      <c r="G29" s="895"/>
      <c r="H29" s="895"/>
      <c r="I29" s="895"/>
      <c r="J29" s="895"/>
      <c r="K29" s="895"/>
      <c r="L29" s="895"/>
      <c r="M29" s="895"/>
      <c r="N29" s="895"/>
    </row>
    <row r="30" spans="1:15" x14ac:dyDescent="0.3">
      <c r="A30" s="895"/>
      <c r="B30" s="895"/>
      <c r="C30" s="895"/>
      <c r="D30" s="895"/>
      <c r="E30" s="895"/>
      <c r="F30" s="895"/>
      <c r="G30" s="895"/>
      <c r="H30" s="895"/>
      <c r="I30" s="895"/>
      <c r="J30" s="895"/>
      <c r="K30" s="895"/>
      <c r="L30" s="895"/>
      <c r="M30" s="895"/>
      <c r="N30" s="895"/>
    </row>
    <row r="31" spans="1:15" x14ac:dyDescent="0.3">
      <c r="A31" s="895"/>
      <c r="B31" s="895"/>
      <c r="C31" s="895"/>
      <c r="D31" s="895"/>
      <c r="E31" s="895"/>
      <c r="F31" s="895"/>
      <c r="G31" s="895"/>
      <c r="H31" s="895"/>
      <c r="I31" s="895"/>
      <c r="J31" s="895"/>
      <c r="K31" s="895"/>
      <c r="L31" s="895"/>
      <c r="M31" s="895"/>
      <c r="N31" s="895"/>
    </row>
    <row r="32" spans="1:15" x14ac:dyDescent="0.3">
      <c r="A32" s="895"/>
      <c r="B32" s="895"/>
      <c r="C32" s="895"/>
      <c r="D32" s="895"/>
      <c r="E32" s="895"/>
      <c r="F32" s="895"/>
      <c r="G32" s="895"/>
      <c r="H32" s="895"/>
      <c r="I32" s="895"/>
      <c r="J32" s="895"/>
      <c r="K32" s="895"/>
      <c r="L32" s="895"/>
      <c r="M32" s="895"/>
      <c r="N32" s="895"/>
    </row>
    <row r="33" spans="1:14" x14ac:dyDescent="0.3">
      <c r="A33" s="895"/>
      <c r="B33" s="895"/>
      <c r="C33" s="895"/>
      <c r="D33" s="895"/>
      <c r="E33" s="895"/>
      <c r="F33" s="895"/>
      <c r="G33" s="895"/>
      <c r="H33" s="895"/>
      <c r="I33" s="895"/>
      <c r="J33" s="895"/>
      <c r="K33" s="895"/>
      <c r="L33" s="895"/>
      <c r="M33" s="895"/>
      <c r="N33" s="895"/>
    </row>
    <row r="34" spans="1:14" x14ac:dyDescent="0.3">
      <c r="A34" s="895"/>
      <c r="B34" s="895"/>
      <c r="C34" s="895"/>
      <c r="D34" s="895"/>
      <c r="E34" s="895"/>
      <c r="F34" s="895"/>
      <c r="G34" s="895"/>
      <c r="H34" s="895"/>
      <c r="I34" s="895"/>
      <c r="J34" s="895"/>
      <c r="K34" s="895"/>
      <c r="L34" s="895"/>
      <c r="M34" s="895"/>
      <c r="N34" s="895"/>
    </row>
    <row r="35" spans="1:14" x14ac:dyDescent="0.3">
      <c r="A35" s="895"/>
      <c r="B35" s="895"/>
      <c r="C35" s="895"/>
      <c r="D35" s="895"/>
      <c r="E35" s="895"/>
      <c r="F35" s="895"/>
      <c r="G35" s="895"/>
      <c r="H35" s="895"/>
      <c r="I35" s="895"/>
      <c r="J35" s="895"/>
      <c r="K35" s="895"/>
      <c r="L35" s="895"/>
      <c r="M35" s="895"/>
      <c r="N35" s="895"/>
    </row>
    <row r="36" spans="1:14" x14ac:dyDescent="0.3">
      <c r="A36" s="895"/>
      <c r="B36" s="895"/>
      <c r="C36" s="895"/>
      <c r="D36" s="895"/>
      <c r="E36" s="895"/>
      <c r="F36" s="895"/>
      <c r="G36" s="895"/>
      <c r="H36" s="895"/>
      <c r="I36" s="895"/>
      <c r="J36" s="895"/>
      <c r="K36" s="895"/>
      <c r="L36" s="895"/>
      <c r="M36" s="895"/>
      <c r="N36" s="895"/>
    </row>
    <row r="37" spans="1:14" x14ac:dyDescent="0.3">
      <c r="A37" s="895"/>
      <c r="B37" s="895"/>
      <c r="C37" s="895"/>
      <c r="D37" s="895"/>
      <c r="E37" s="895"/>
      <c r="F37" s="895"/>
      <c r="G37" s="895"/>
      <c r="H37" s="895"/>
      <c r="I37" s="895"/>
      <c r="J37" s="895"/>
      <c r="K37" s="895"/>
      <c r="L37" s="895"/>
      <c r="M37" s="895"/>
      <c r="N37" s="895"/>
    </row>
    <row r="38" spans="1:14" x14ac:dyDescent="0.3">
      <c r="A38" s="895"/>
      <c r="B38" s="895"/>
      <c r="C38" s="895"/>
      <c r="D38" s="895"/>
      <c r="E38" s="895"/>
      <c r="F38" s="895"/>
      <c r="G38" s="895"/>
      <c r="H38" s="895"/>
      <c r="I38" s="895"/>
      <c r="J38" s="895"/>
      <c r="K38" s="895"/>
      <c r="L38" s="895"/>
      <c r="M38" s="895"/>
      <c r="N38" s="895"/>
    </row>
    <row r="39" spans="1:14" x14ac:dyDescent="0.3">
      <c r="A39" s="895"/>
      <c r="B39" s="895"/>
      <c r="C39" s="895"/>
      <c r="D39" s="895"/>
      <c r="E39" s="895"/>
      <c r="F39" s="895"/>
      <c r="G39" s="895"/>
      <c r="H39" s="895"/>
      <c r="I39" s="895"/>
      <c r="J39" s="895"/>
      <c r="K39" s="895"/>
      <c r="L39" s="895"/>
      <c r="M39" s="895"/>
      <c r="N39" s="895"/>
    </row>
    <row r="40" spans="1:14" x14ac:dyDescent="0.3">
      <c r="A40" s="895"/>
      <c r="B40" s="895"/>
      <c r="C40" s="895"/>
      <c r="D40" s="895"/>
      <c r="E40" s="895"/>
      <c r="F40" s="895"/>
      <c r="G40" s="895"/>
      <c r="H40" s="895"/>
      <c r="I40" s="895"/>
      <c r="J40" s="895"/>
      <c r="K40" s="895"/>
      <c r="L40" s="895"/>
      <c r="M40" s="895"/>
      <c r="N40" s="895"/>
    </row>
    <row r="41" spans="1:14" x14ac:dyDescent="0.3">
      <c r="A41" s="895"/>
      <c r="B41" s="895"/>
      <c r="C41" s="895"/>
      <c r="D41" s="895"/>
      <c r="E41" s="895"/>
      <c r="F41" s="895"/>
      <c r="G41" s="895"/>
      <c r="H41" s="895"/>
      <c r="I41" s="895"/>
      <c r="J41" s="895"/>
      <c r="K41" s="895"/>
      <c r="L41" s="895"/>
      <c r="M41" s="895"/>
      <c r="N41" s="895"/>
    </row>
    <row r="42" spans="1:14" x14ac:dyDescent="0.3">
      <c r="A42" s="895"/>
      <c r="B42" s="895"/>
      <c r="C42" s="895"/>
      <c r="D42" s="895"/>
      <c r="E42" s="895"/>
      <c r="F42" s="895"/>
      <c r="G42" s="895"/>
      <c r="H42" s="895"/>
      <c r="I42" s="895"/>
      <c r="J42" s="895"/>
      <c r="K42" s="895"/>
      <c r="L42" s="895"/>
      <c r="M42" s="895"/>
      <c r="N42" s="895"/>
    </row>
    <row r="43" spans="1:14" x14ac:dyDescent="0.3">
      <c r="A43" s="895"/>
      <c r="B43" s="895"/>
      <c r="C43" s="895"/>
      <c r="D43" s="895"/>
      <c r="E43" s="895"/>
      <c r="F43" s="895"/>
      <c r="G43" s="895"/>
      <c r="H43" s="895"/>
      <c r="I43" s="895"/>
      <c r="J43" s="895"/>
      <c r="K43" s="895"/>
      <c r="L43" s="895"/>
      <c r="M43" s="895"/>
      <c r="N43" s="895"/>
    </row>
    <row r="44" spans="1:14" x14ac:dyDescent="0.3">
      <c r="A44" s="895"/>
      <c r="B44" s="895"/>
      <c r="C44" s="895"/>
      <c r="D44" s="895"/>
      <c r="E44" s="895"/>
      <c r="F44" s="895"/>
      <c r="G44" s="895"/>
      <c r="H44" s="895"/>
      <c r="I44" s="895"/>
      <c r="J44" s="895"/>
      <c r="K44" s="895"/>
      <c r="L44" s="895"/>
      <c r="M44" s="895"/>
      <c r="N44" s="895"/>
    </row>
    <row r="45" spans="1:14" x14ac:dyDescent="0.3">
      <c r="A45" s="895"/>
      <c r="B45" s="895"/>
      <c r="C45" s="895"/>
      <c r="D45" s="895"/>
      <c r="E45" s="895"/>
      <c r="F45" s="895"/>
      <c r="G45" s="895"/>
      <c r="H45" s="895"/>
      <c r="I45" s="895"/>
      <c r="J45" s="895"/>
      <c r="K45" s="895"/>
      <c r="L45" s="895"/>
      <c r="M45" s="895"/>
      <c r="N45" s="895"/>
    </row>
    <row r="46" spans="1:14" x14ac:dyDescent="0.3">
      <c r="A46" s="895"/>
      <c r="B46" s="895"/>
      <c r="C46" s="895"/>
      <c r="D46" s="895"/>
      <c r="E46" s="895"/>
      <c r="F46" s="895"/>
      <c r="G46" s="895"/>
      <c r="H46" s="895"/>
      <c r="I46" s="895"/>
      <c r="J46" s="895"/>
      <c r="K46" s="895"/>
      <c r="L46" s="895"/>
      <c r="M46" s="895"/>
      <c r="N46" s="895"/>
    </row>
    <row r="47" spans="1:14" x14ac:dyDescent="0.3">
      <c r="A47" s="895"/>
      <c r="B47" s="895"/>
      <c r="C47" s="895"/>
      <c r="D47" s="895"/>
      <c r="E47" s="895"/>
      <c r="F47" s="895"/>
      <c r="G47" s="895"/>
      <c r="H47" s="895"/>
      <c r="I47" s="895"/>
      <c r="J47" s="895"/>
      <c r="K47" s="895"/>
      <c r="L47" s="895"/>
      <c r="M47" s="895"/>
      <c r="N47" s="895"/>
    </row>
    <row r="48" spans="1:14" x14ac:dyDescent="0.3">
      <c r="A48" s="895"/>
      <c r="B48" s="895"/>
      <c r="C48" s="895"/>
      <c r="D48" s="895"/>
      <c r="E48" s="895"/>
      <c r="F48" s="895"/>
      <c r="G48" s="895"/>
      <c r="H48" s="895"/>
      <c r="I48" s="895"/>
      <c r="J48" s="895"/>
      <c r="K48" s="895"/>
      <c r="L48" s="895"/>
      <c r="M48" s="895"/>
      <c r="N48" s="895"/>
    </row>
    <row r="49" spans="1:14" x14ac:dyDescent="0.3">
      <c r="A49" s="895"/>
      <c r="B49" s="895"/>
      <c r="C49" s="895"/>
      <c r="D49" s="895"/>
      <c r="E49" s="895"/>
      <c r="F49" s="895"/>
      <c r="G49" s="895"/>
      <c r="H49" s="895"/>
      <c r="I49" s="895"/>
      <c r="J49" s="895"/>
      <c r="K49" s="895"/>
      <c r="L49" s="895"/>
      <c r="M49" s="895"/>
      <c r="N49" s="895"/>
    </row>
    <row r="50" spans="1:14" x14ac:dyDescent="0.3">
      <c r="A50" s="895"/>
      <c r="B50" s="895"/>
      <c r="C50" s="895"/>
      <c r="D50" s="895"/>
      <c r="E50" s="895"/>
      <c r="F50" s="895"/>
      <c r="G50" s="895"/>
      <c r="H50" s="895"/>
      <c r="I50" s="895"/>
      <c r="J50" s="895"/>
      <c r="K50" s="895"/>
      <c r="L50" s="895"/>
      <c r="M50" s="895"/>
      <c r="N50" s="895"/>
    </row>
    <row r="51" spans="1:14" x14ac:dyDescent="0.3">
      <c r="A51" s="895"/>
      <c r="B51" s="895"/>
      <c r="C51" s="895"/>
      <c r="D51" s="895"/>
      <c r="E51" s="895"/>
      <c r="F51" s="895"/>
      <c r="G51" s="895"/>
      <c r="H51" s="895"/>
      <c r="I51" s="895"/>
      <c r="J51" s="895"/>
      <c r="K51" s="895"/>
      <c r="L51" s="895"/>
      <c r="M51" s="895"/>
      <c r="N51" s="895"/>
    </row>
    <row r="52" spans="1:14" x14ac:dyDescent="0.3">
      <c r="A52" s="895"/>
      <c r="B52" s="895"/>
      <c r="C52" s="895"/>
      <c r="D52" s="895"/>
      <c r="E52" s="895"/>
      <c r="F52" s="895"/>
      <c r="G52" s="895"/>
      <c r="H52" s="895"/>
      <c r="I52" s="895"/>
      <c r="J52" s="895"/>
      <c r="K52" s="895"/>
      <c r="L52" s="895"/>
      <c r="M52" s="895"/>
      <c r="N52" s="895"/>
    </row>
    <row r="53" spans="1:14" x14ac:dyDescent="0.3">
      <c r="A53" s="895"/>
      <c r="B53" s="895"/>
      <c r="C53" s="895"/>
      <c r="D53" s="895"/>
      <c r="E53" s="895"/>
      <c r="F53" s="895"/>
      <c r="G53" s="895"/>
      <c r="H53" s="895"/>
      <c r="I53" s="895"/>
      <c r="J53" s="895"/>
      <c r="K53" s="895"/>
      <c r="L53" s="895"/>
      <c r="M53" s="895"/>
      <c r="N53" s="895"/>
    </row>
    <row r="54" spans="1:14" x14ac:dyDescent="0.3">
      <c r="A54" s="895"/>
      <c r="B54" s="895"/>
      <c r="C54" s="895"/>
      <c r="D54" s="895"/>
      <c r="E54" s="895"/>
      <c r="F54" s="895"/>
      <c r="G54" s="895"/>
      <c r="H54" s="895"/>
      <c r="I54" s="895"/>
      <c r="J54" s="895"/>
      <c r="K54" s="895"/>
      <c r="L54" s="895"/>
      <c r="M54" s="895"/>
      <c r="N54" s="895"/>
    </row>
    <row r="55" spans="1:14" x14ac:dyDescent="0.3">
      <c r="A55" s="895"/>
      <c r="B55" s="895"/>
      <c r="C55" s="895"/>
      <c r="D55" s="895"/>
      <c r="E55" s="895"/>
      <c r="F55" s="895"/>
      <c r="G55" s="895"/>
      <c r="H55" s="895"/>
      <c r="I55" s="895"/>
      <c r="J55" s="895"/>
      <c r="K55" s="895"/>
      <c r="L55" s="895"/>
      <c r="M55" s="895"/>
      <c r="N55" s="895"/>
    </row>
    <row r="56" spans="1:14" x14ac:dyDescent="0.3">
      <c r="A56" s="895"/>
      <c r="B56" s="895"/>
      <c r="C56" s="895"/>
      <c r="D56" s="895"/>
      <c r="E56" s="895"/>
      <c r="F56" s="895"/>
      <c r="G56" s="895"/>
      <c r="H56" s="895"/>
      <c r="I56" s="895"/>
      <c r="J56" s="895"/>
      <c r="K56" s="895"/>
      <c r="L56" s="895"/>
      <c r="M56" s="895"/>
      <c r="N56" s="895"/>
    </row>
    <row r="57" spans="1:14" x14ac:dyDescent="0.3">
      <c r="A57" s="895"/>
      <c r="B57" s="895"/>
      <c r="C57" s="895"/>
      <c r="D57" s="895"/>
      <c r="E57" s="895"/>
      <c r="F57" s="895"/>
      <c r="G57" s="895"/>
      <c r="H57" s="895"/>
      <c r="I57" s="895"/>
      <c r="J57" s="895"/>
      <c r="K57" s="895"/>
      <c r="L57" s="895"/>
      <c r="M57" s="895"/>
      <c r="N57" s="895"/>
    </row>
    <row r="58" spans="1:14" x14ac:dyDescent="0.3">
      <c r="A58" s="895"/>
      <c r="B58" s="895"/>
      <c r="C58" s="895"/>
      <c r="D58" s="895"/>
      <c r="E58" s="895"/>
      <c r="F58" s="895"/>
      <c r="G58" s="895"/>
      <c r="H58" s="895"/>
      <c r="I58" s="895"/>
      <c r="J58" s="895"/>
      <c r="K58" s="895"/>
      <c r="L58" s="895"/>
      <c r="M58" s="895"/>
      <c r="N58" s="895"/>
    </row>
    <row r="59" spans="1:14" x14ac:dyDescent="0.3">
      <c r="A59" s="895"/>
      <c r="B59" s="895"/>
      <c r="C59" s="895"/>
      <c r="D59" s="895"/>
      <c r="E59" s="895"/>
      <c r="F59" s="895"/>
      <c r="G59" s="895"/>
      <c r="H59" s="895"/>
      <c r="I59" s="895"/>
      <c r="J59" s="895"/>
      <c r="K59" s="895"/>
      <c r="L59" s="895"/>
      <c r="M59" s="895"/>
      <c r="N59" s="895"/>
    </row>
    <row r="60" spans="1:14" x14ac:dyDescent="0.3">
      <c r="A60" s="895"/>
      <c r="B60" s="895"/>
      <c r="C60" s="895"/>
      <c r="D60" s="895"/>
      <c r="E60" s="895"/>
      <c r="F60" s="895"/>
      <c r="G60" s="895"/>
      <c r="H60" s="895"/>
      <c r="I60" s="895"/>
      <c r="J60" s="895"/>
      <c r="K60" s="895"/>
      <c r="L60" s="895"/>
      <c r="M60" s="895"/>
      <c r="N60" s="895"/>
    </row>
    <row r="61" spans="1:14" x14ac:dyDescent="0.3">
      <c r="A61" s="895"/>
      <c r="B61" s="895"/>
      <c r="C61" s="895"/>
      <c r="D61" s="895"/>
      <c r="E61" s="895"/>
      <c r="F61" s="895"/>
      <c r="G61" s="895"/>
      <c r="H61" s="895"/>
      <c r="I61" s="895"/>
      <c r="J61" s="895"/>
      <c r="K61" s="895"/>
      <c r="L61" s="895"/>
      <c r="M61" s="895"/>
      <c r="N61" s="895"/>
    </row>
    <row r="62" spans="1:14" x14ac:dyDescent="0.3">
      <c r="A62" s="895"/>
      <c r="B62" s="895"/>
      <c r="C62" s="895"/>
      <c r="D62" s="895"/>
      <c r="E62" s="895"/>
      <c r="F62" s="895"/>
      <c r="G62" s="895"/>
      <c r="H62" s="895"/>
      <c r="I62" s="895"/>
      <c r="J62" s="895"/>
      <c r="K62" s="895"/>
      <c r="L62" s="895"/>
      <c r="M62" s="895"/>
      <c r="N62" s="895"/>
    </row>
    <row r="63" spans="1:14" x14ac:dyDescent="0.3">
      <c r="A63" s="895"/>
      <c r="B63" s="895"/>
      <c r="C63" s="895"/>
      <c r="D63" s="895"/>
      <c r="E63" s="895"/>
      <c r="F63" s="895"/>
      <c r="G63" s="895"/>
      <c r="H63" s="895"/>
      <c r="I63" s="895"/>
      <c r="J63" s="895"/>
      <c r="K63" s="895"/>
      <c r="L63" s="895"/>
      <c r="M63" s="895"/>
      <c r="N63" s="895"/>
    </row>
    <row r="64" spans="1:14" x14ac:dyDescent="0.3">
      <c r="A64" s="895"/>
      <c r="B64" s="895"/>
      <c r="C64" s="895"/>
      <c r="D64" s="895"/>
      <c r="E64" s="895"/>
      <c r="F64" s="895"/>
      <c r="G64" s="895"/>
      <c r="H64" s="895"/>
      <c r="I64" s="895"/>
      <c r="J64" s="895"/>
      <c r="K64" s="895"/>
      <c r="L64" s="895"/>
      <c r="M64" s="895"/>
      <c r="N64" s="895"/>
    </row>
    <row r="65" spans="1:14" x14ac:dyDescent="0.3">
      <c r="A65" s="895"/>
      <c r="B65" s="895"/>
      <c r="C65" s="895"/>
      <c r="D65" s="895"/>
      <c r="E65" s="895"/>
      <c r="F65" s="895"/>
      <c r="G65" s="895"/>
      <c r="H65" s="895"/>
      <c r="I65" s="895"/>
      <c r="J65" s="895"/>
      <c r="K65" s="895"/>
      <c r="L65" s="895"/>
      <c r="M65" s="895"/>
      <c r="N65" s="895"/>
    </row>
    <row r="66" spans="1:14" x14ac:dyDescent="0.3">
      <c r="A66" s="895"/>
      <c r="B66" s="895"/>
      <c r="C66" s="895"/>
      <c r="D66" s="895"/>
      <c r="E66" s="895"/>
      <c r="F66" s="895"/>
      <c r="G66" s="895"/>
      <c r="H66" s="895"/>
      <c r="I66" s="895"/>
      <c r="J66" s="895"/>
      <c r="K66" s="895"/>
      <c r="L66" s="895"/>
      <c r="M66" s="895"/>
      <c r="N66" s="895"/>
    </row>
    <row r="67" spans="1:14" x14ac:dyDescent="0.3">
      <c r="A67" s="895"/>
      <c r="B67" s="895"/>
      <c r="C67" s="895"/>
      <c r="D67" s="895"/>
      <c r="E67" s="895"/>
      <c r="F67" s="895"/>
      <c r="G67" s="895"/>
      <c r="H67" s="895"/>
      <c r="I67" s="895"/>
      <c r="J67" s="895"/>
      <c r="K67" s="895"/>
      <c r="L67" s="895"/>
      <c r="M67" s="895"/>
      <c r="N67" s="895"/>
    </row>
    <row r="68" spans="1:14" x14ac:dyDescent="0.3">
      <c r="A68" s="895"/>
      <c r="B68" s="895"/>
      <c r="C68" s="895"/>
      <c r="D68" s="895"/>
      <c r="E68" s="895"/>
      <c r="F68" s="895"/>
      <c r="G68" s="895"/>
      <c r="H68" s="895"/>
      <c r="I68" s="895"/>
      <c r="J68" s="895"/>
      <c r="K68" s="895"/>
      <c r="L68" s="895"/>
      <c r="M68" s="895"/>
      <c r="N68" s="895"/>
    </row>
    <row r="69" spans="1:14" x14ac:dyDescent="0.3">
      <c r="A69" s="895"/>
      <c r="B69" s="895"/>
      <c r="C69" s="895"/>
      <c r="D69" s="895"/>
      <c r="E69" s="895"/>
      <c r="F69" s="895"/>
      <c r="G69" s="895"/>
      <c r="H69" s="895"/>
      <c r="I69" s="895"/>
      <c r="J69" s="895"/>
      <c r="K69" s="895"/>
      <c r="L69" s="895"/>
      <c r="M69" s="895"/>
      <c r="N69" s="895"/>
    </row>
    <row r="70" spans="1:14" x14ac:dyDescent="0.3">
      <c r="A70" s="895"/>
      <c r="B70" s="895"/>
      <c r="C70" s="895"/>
      <c r="D70" s="895"/>
      <c r="E70" s="895"/>
      <c r="F70" s="895"/>
      <c r="G70" s="895"/>
      <c r="H70" s="895"/>
      <c r="I70" s="895"/>
      <c r="J70" s="895"/>
      <c r="K70" s="895"/>
      <c r="L70" s="895"/>
      <c r="M70" s="895"/>
      <c r="N70" s="895"/>
    </row>
    <row r="71" spans="1:14" x14ac:dyDescent="0.3">
      <c r="A71" s="895"/>
      <c r="B71" s="895"/>
      <c r="C71" s="895"/>
      <c r="D71" s="895"/>
      <c r="E71" s="895"/>
      <c r="F71" s="895"/>
      <c r="G71" s="895"/>
      <c r="H71" s="895"/>
      <c r="I71" s="895"/>
      <c r="J71" s="895"/>
      <c r="K71" s="895"/>
      <c r="L71" s="895"/>
      <c r="M71" s="895"/>
      <c r="N71" s="895"/>
    </row>
    <row r="72" spans="1:14" x14ac:dyDescent="0.3">
      <c r="A72" s="895"/>
      <c r="B72" s="895"/>
      <c r="C72" s="895"/>
      <c r="D72" s="895"/>
      <c r="E72" s="895"/>
      <c r="F72" s="895"/>
      <c r="G72" s="895"/>
      <c r="H72" s="895"/>
      <c r="I72" s="895"/>
      <c r="J72" s="895"/>
      <c r="K72" s="895"/>
      <c r="L72" s="895"/>
      <c r="M72" s="895"/>
      <c r="N72" s="895"/>
    </row>
    <row r="73" spans="1:14" x14ac:dyDescent="0.3">
      <c r="A73" s="895"/>
      <c r="B73" s="895"/>
      <c r="C73" s="895"/>
      <c r="D73" s="895"/>
      <c r="E73" s="895"/>
      <c r="F73" s="895"/>
      <c r="G73" s="895"/>
      <c r="H73" s="895"/>
      <c r="I73" s="895"/>
      <c r="J73" s="895"/>
      <c r="K73" s="895"/>
      <c r="L73" s="895"/>
      <c r="M73" s="895"/>
      <c r="N73" s="895"/>
    </row>
    <row r="74" spans="1:14" x14ac:dyDescent="0.3">
      <c r="A74" s="895"/>
      <c r="B74" s="895"/>
      <c r="C74" s="895"/>
      <c r="D74" s="895"/>
      <c r="E74" s="895"/>
      <c r="F74" s="895"/>
      <c r="G74" s="895"/>
      <c r="H74" s="895"/>
      <c r="I74" s="895"/>
      <c r="J74" s="895"/>
      <c r="K74" s="895"/>
      <c r="L74" s="895"/>
      <c r="M74" s="895"/>
      <c r="N74" s="895"/>
    </row>
    <row r="75" spans="1:14" x14ac:dyDescent="0.3">
      <c r="A75" s="895"/>
      <c r="B75" s="895"/>
      <c r="C75" s="895"/>
      <c r="D75" s="895"/>
      <c r="E75" s="895"/>
      <c r="F75" s="895"/>
      <c r="G75" s="895"/>
      <c r="H75" s="895"/>
      <c r="I75" s="895"/>
      <c r="J75" s="895"/>
      <c r="K75" s="895"/>
      <c r="L75" s="895"/>
      <c r="M75" s="895"/>
      <c r="N75" s="895"/>
    </row>
    <row r="76" spans="1:14" x14ac:dyDescent="0.3">
      <c r="A76" s="895"/>
      <c r="B76" s="895"/>
      <c r="C76" s="895"/>
      <c r="D76" s="895"/>
      <c r="E76" s="895"/>
      <c r="F76" s="895"/>
      <c r="G76" s="895"/>
      <c r="H76" s="895"/>
      <c r="I76" s="895"/>
      <c r="J76" s="895"/>
      <c r="K76" s="895"/>
      <c r="L76" s="895"/>
      <c r="M76" s="895"/>
      <c r="N76" s="895"/>
    </row>
    <row r="77" spans="1:14" x14ac:dyDescent="0.3">
      <c r="A77" s="895"/>
      <c r="B77" s="895"/>
      <c r="C77" s="895"/>
      <c r="D77" s="895"/>
      <c r="E77" s="895"/>
      <c r="F77" s="895"/>
      <c r="G77" s="895"/>
      <c r="H77" s="895"/>
      <c r="I77" s="895"/>
      <c r="J77" s="895"/>
      <c r="K77" s="895"/>
      <c r="L77" s="895"/>
      <c r="M77" s="895"/>
      <c r="N77" s="895"/>
    </row>
    <row r="78" spans="1:14" x14ac:dyDescent="0.3">
      <c r="A78" s="895"/>
      <c r="B78" s="895"/>
      <c r="C78" s="895"/>
      <c r="D78" s="895"/>
      <c r="E78" s="895"/>
      <c r="F78" s="895"/>
      <c r="G78" s="895"/>
      <c r="H78" s="895"/>
      <c r="I78" s="895"/>
      <c r="J78" s="895"/>
      <c r="K78" s="895"/>
      <c r="L78" s="895"/>
      <c r="M78" s="895"/>
      <c r="N78" s="895"/>
    </row>
    <row r="79" spans="1:14" x14ac:dyDescent="0.3">
      <c r="A79" s="895"/>
      <c r="B79" s="895"/>
      <c r="C79" s="895"/>
      <c r="D79" s="895"/>
      <c r="E79" s="895"/>
      <c r="F79" s="895"/>
      <c r="G79" s="895"/>
      <c r="H79" s="895"/>
      <c r="I79" s="895"/>
      <c r="J79" s="895"/>
      <c r="K79" s="895"/>
      <c r="L79" s="895"/>
      <c r="M79" s="895"/>
      <c r="N79" s="895"/>
    </row>
    <row r="80" spans="1:14" x14ac:dyDescent="0.3">
      <c r="A80" s="895"/>
      <c r="B80" s="895"/>
      <c r="C80" s="895"/>
      <c r="D80" s="895"/>
      <c r="E80" s="895"/>
      <c r="F80" s="895"/>
      <c r="G80" s="895"/>
      <c r="H80" s="895"/>
      <c r="I80" s="895"/>
      <c r="J80" s="895"/>
      <c r="K80" s="895"/>
      <c r="L80" s="895"/>
      <c r="M80" s="895"/>
      <c r="N80" s="895"/>
    </row>
    <row r="81" spans="1:14" x14ac:dyDescent="0.3">
      <c r="A81" s="895"/>
      <c r="B81" s="895"/>
      <c r="C81" s="895"/>
      <c r="D81" s="895"/>
      <c r="E81" s="895"/>
      <c r="F81" s="895"/>
      <c r="G81" s="895"/>
      <c r="H81" s="895"/>
      <c r="I81" s="895"/>
      <c r="J81" s="895"/>
      <c r="K81" s="895"/>
      <c r="L81" s="895"/>
      <c r="M81" s="895"/>
      <c r="N81" s="895"/>
    </row>
    <row r="82" spans="1:14" x14ac:dyDescent="0.3">
      <c r="A82" s="895"/>
      <c r="B82" s="895"/>
      <c r="C82" s="895"/>
      <c r="D82" s="895"/>
      <c r="E82" s="895"/>
      <c r="F82" s="895"/>
      <c r="G82" s="895"/>
      <c r="H82" s="895"/>
      <c r="I82" s="895"/>
      <c r="J82" s="895"/>
      <c r="K82" s="895"/>
      <c r="L82" s="895"/>
      <c r="M82" s="895"/>
      <c r="N82" s="895"/>
    </row>
    <row r="83" spans="1:14" x14ac:dyDescent="0.3">
      <c r="A83" s="895"/>
      <c r="B83" s="895"/>
      <c r="C83" s="895"/>
      <c r="D83" s="895"/>
      <c r="E83" s="895"/>
      <c r="F83" s="895"/>
      <c r="G83" s="895"/>
      <c r="H83" s="895"/>
      <c r="I83" s="895"/>
      <c r="J83" s="895"/>
      <c r="K83" s="895"/>
      <c r="L83" s="895"/>
      <c r="M83" s="895"/>
      <c r="N83" s="895"/>
    </row>
    <row r="84" spans="1:14" x14ac:dyDescent="0.3">
      <c r="A84" s="895"/>
      <c r="B84" s="895"/>
      <c r="C84" s="895"/>
      <c r="D84" s="895"/>
      <c r="E84" s="895"/>
      <c r="F84" s="895"/>
      <c r="G84" s="895"/>
      <c r="H84" s="895"/>
      <c r="I84" s="895"/>
      <c r="J84" s="895"/>
      <c r="K84" s="895"/>
      <c r="L84" s="895"/>
      <c r="M84" s="895"/>
      <c r="N84" s="895"/>
    </row>
    <row r="85" spans="1:14" x14ac:dyDescent="0.3">
      <c r="A85" s="895"/>
      <c r="B85" s="895"/>
      <c r="C85" s="895"/>
      <c r="D85" s="895"/>
      <c r="E85" s="895"/>
      <c r="F85" s="895"/>
      <c r="G85" s="895"/>
      <c r="H85" s="895"/>
      <c r="I85" s="895"/>
      <c r="J85" s="895"/>
      <c r="K85" s="895"/>
      <c r="L85" s="895"/>
      <c r="M85" s="895"/>
      <c r="N85" s="895"/>
    </row>
    <row r="86" spans="1:14" x14ac:dyDescent="0.3">
      <c r="A86" s="895"/>
      <c r="B86" s="895"/>
      <c r="C86" s="895"/>
      <c r="D86" s="895"/>
      <c r="E86" s="895"/>
      <c r="F86" s="895"/>
      <c r="G86" s="895"/>
      <c r="H86" s="895"/>
      <c r="I86" s="895"/>
      <c r="J86" s="895"/>
      <c r="K86" s="895"/>
      <c r="L86" s="895"/>
      <c r="M86" s="895"/>
      <c r="N86" s="895"/>
    </row>
    <row r="87" spans="1:14" x14ac:dyDescent="0.3">
      <c r="A87" s="895"/>
      <c r="B87" s="895"/>
      <c r="C87" s="895"/>
      <c r="D87" s="895"/>
      <c r="E87" s="895"/>
      <c r="F87" s="895"/>
      <c r="G87" s="895"/>
      <c r="H87" s="895"/>
      <c r="I87" s="895"/>
      <c r="J87" s="895"/>
      <c r="K87" s="895"/>
      <c r="L87" s="895"/>
      <c r="M87" s="895"/>
      <c r="N87" s="895"/>
    </row>
    <row r="88" spans="1:14" x14ac:dyDescent="0.3">
      <c r="A88" s="895"/>
      <c r="B88" s="895"/>
      <c r="C88" s="895"/>
      <c r="D88" s="895"/>
      <c r="E88" s="895"/>
      <c r="F88" s="895"/>
      <c r="G88" s="895"/>
      <c r="H88" s="895"/>
      <c r="I88" s="895"/>
      <c r="J88" s="895"/>
      <c r="K88" s="895"/>
      <c r="L88" s="895"/>
      <c r="M88" s="895"/>
      <c r="N88" s="895"/>
    </row>
    <row r="89" spans="1:14" x14ac:dyDescent="0.3">
      <c r="A89" s="895"/>
      <c r="B89" s="895"/>
      <c r="C89" s="895"/>
      <c r="D89" s="895"/>
      <c r="E89" s="895"/>
      <c r="F89" s="895"/>
      <c r="G89" s="895"/>
      <c r="H89" s="895"/>
      <c r="I89" s="895"/>
      <c r="J89" s="895"/>
      <c r="K89" s="895"/>
      <c r="L89" s="895"/>
      <c r="M89" s="895"/>
      <c r="N89" s="895"/>
    </row>
    <row r="90" spans="1:14" x14ac:dyDescent="0.3">
      <c r="A90" s="895"/>
      <c r="B90" s="895"/>
      <c r="C90" s="895"/>
      <c r="D90" s="895"/>
      <c r="E90" s="895"/>
      <c r="F90" s="895"/>
      <c r="G90" s="895"/>
      <c r="H90" s="895"/>
      <c r="I90" s="895"/>
      <c r="J90" s="895"/>
      <c r="K90" s="895"/>
      <c r="L90" s="895"/>
      <c r="M90" s="895"/>
      <c r="N90" s="895"/>
    </row>
    <row r="91" spans="1:14" x14ac:dyDescent="0.3">
      <c r="A91" s="895"/>
      <c r="B91" s="895"/>
      <c r="C91" s="895"/>
      <c r="D91" s="895"/>
      <c r="E91" s="895"/>
      <c r="F91" s="895"/>
      <c r="G91" s="895"/>
      <c r="H91" s="895"/>
      <c r="I91" s="895"/>
      <c r="J91" s="895"/>
      <c r="K91" s="895"/>
      <c r="L91" s="895"/>
      <c r="M91" s="895"/>
      <c r="N91" s="895"/>
    </row>
    <row r="92" spans="1:14" x14ac:dyDescent="0.3">
      <c r="A92" s="895"/>
      <c r="B92" s="895"/>
      <c r="C92" s="895"/>
      <c r="D92" s="895"/>
      <c r="E92" s="895"/>
      <c r="F92" s="895"/>
      <c r="G92" s="895"/>
      <c r="H92" s="895"/>
      <c r="I92" s="895"/>
      <c r="J92" s="895"/>
      <c r="K92" s="895"/>
      <c r="L92" s="895"/>
      <c r="M92" s="895"/>
      <c r="N92" s="895"/>
    </row>
    <row r="93" spans="1:14" x14ac:dyDescent="0.3">
      <c r="A93" s="895"/>
      <c r="B93" s="895"/>
      <c r="C93" s="895"/>
      <c r="D93" s="895"/>
      <c r="E93" s="895"/>
      <c r="F93" s="895"/>
      <c r="G93" s="895"/>
      <c r="H93" s="895"/>
      <c r="I93" s="895"/>
      <c r="J93" s="895"/>
      <c r="K93" s="895"/>
      <c r="L93" s="895"/>
      <c r="M93" s="895"/>
      <c r="N93" s="895"/>
    </row>
    <row r="94" spans="1:14" x14ac:dyDescent="0.3">
      <c r="A94" s="895"/>
      <c r="B94" s="895"/>
      <c r="C94" s="895"/>
      <c r="D94" s="895"/>
      <c r="E94" s="895"/>
      <c r="F94" s="895"/>
      <c r="G94" s="895"/>
      <c r="H94" s="895"/>
      <c r="I94" s="895"/>
      <c r="J94" s="895"/>
      <c r="K94" s="895"/>
      <c r="L94" s="895"/>
      <c r="M94" s="895"/>
      <c r="N94" s="895"/>
    </row>
    <row r="95" spans="1:14" x14ac:dyDescent="0.3">
      <c r="A95" s="895"/>
      <c r="B95" s="895"/>
      <c r="C95" s="895"/>
      <c r="D95" s="895"/>
      <c r="E95" s="895"/>
      <c r="F95" s="895"/>
      <c r="G95" s="895"/>
      <c r="H95" s="895"/>
      <c r="I95" s="895"/>
      <c r="J95" s="895"/>
      <c r="K95" s="895"/>
      <c r="L95" s="895"/>
      <c r="M95" s="895"/>
      <c r="N95" s="895"/>
    </row>
    <row r="96" spans="1:14" x14ac:dyDescent="0.3">
      <c r="A96" s="895"/>
      <c r="B96" s="895"/>
      <c r="C96" s="895"/>
      <c r="D96" s="895"/>
      <c r="E96" s="895"/>
      <c r="F96" s="895"/>
      <c r="G96" s="895"/>
      <c r="H96" s="895"/>
      <c r="I96" s="895"/>
      <c r="J96" s="895"/>
      <c r="K96" s="895"/>
      <c r="L96" s="895"/>
      <c r="M96" s="895"/>
      <c r="N96" s="895"/>
    </row>
    <row r="97" spans="1:14" x14ac:dyDescent="0.3">
      <c r="A97" s="895"/>
      <c r="B97" s="895"/>
      <c r="C97" s="895"/>
      <c r="D97" s="895"/>
      <c r="E97" s="895"/>
      <c r="F97" s="895"/>
      <c r="G97" s="895"/>
      <c r="H97" s="895"/>
      <c r="I97" s="895"/>
      <c r="J97" s="895"/>
      <c r="K97" s="895"/>
      <c r="L97" s="895"/>
      <c r="M97" s="895"/>
      <c r="N97" s="895"/>
    </row>
    <row r="98" spans="1:14" x14ac:dyDescent="0.3">
      <c r="A98" s="895"/>
      <c r="B98" s="895"/>
      <c r="C98" s="895"/>
      <c r="D98" s="895"/>
      <c r="E98" s="895"/>
      <c r="F98" s="895"/>
      <c r="G98" s="895"/>
      <c r="H98" s="895"/>
      <c r="I98" s="895"/>
      <c r="J98" s="895"/>
      <c r="K98" s="895"/>
      <c r="L98" s="895"/>
      <c r="M98" s="895"/>
      <c r="N98" s="895"/>
    </row>
    <row r="99" spans="1:14" x14ac:dyDescent="0.3">
      <c r="A99" s="895"/>
      <c r="B99" s="895"/>
      <c r="C99" s="895"/>
      <c r="D99" s="895"/>
      <c r="E99" s="895"/>
      <c r="F99" s="895"/>
      <c r="G99" s="895"/>
      <c r="H99" s="895"/>
      <c r="I99" s="895"/>
      <c r="J99" s="895"/>
      <c r="K99" s="895"/>
      <c r="L99" s="895"/>
      <c r="M99" s="895"/>
      <c r="N99" s="895"/>
    </row>
    <row r="100" spans="1:14" x14ac:dyDescent="0.3">
      <c r="A100" s="895"/>
      <c r="B100" s="895"/>
      <c r="C100" s="895"/>
      <c r="D100" s="895"/>
      <c r="E100" s="895"/>
      <c r="F100" s="895"/>
      <c r="G100" s="895"/>
      <c r="H100" s="895"/>
      <c r="I100" s="895"/>
      <c r="J100" s="895"/>
      <c r="K100" s="895"/>
      <c r="L100" s="895"/>
      <c r="M100" s="895"/>
      <c r="N100" s="895"/>
    </row>
    <row r="101" spans="1:14" x14ac:dyDescent="0.3">
      <c r="A101" s="895"/>
      <c r="B101" s="895"/>
      <c r="C101" s="895"/>
      <c r="D101" s="895"/>
      <c r="E101" s="895"/>
      <c r="F101" s="895"/>
      <c r="G101" s="895"/>
      <c r="H101" s="895"/>
      <c r="I101" s="895"/>
      <c r="J101" s="895"/>
      <c r="K101" s="895"/>
      <c r="L101" s="895"/>
      <c r="M101" s="895"/>
      <c r="N101" s="895"/>
    </row>
    <row r="102" spans="1:14" x14ac:dyDescent="0.3">
      <c r="A102" s="895"/>
      <c r="B102" s="895"/>
      <c r="C102" s="895"/>
      <c r="D102" s="895"/>
      <c r="E102" s="895"/>
      <c r="F102" s="895"/>
      <c r="G102" s="895"/>
      <c r="H102" s="895"/>
      <c r="I102" s="895"/>
      <c r="J102" s="895"/>
      <c r="K102" s="895"/>
      <c r="L102" s="895"/>
      <c r="M102" s="895"/>
      <c r="N102" s="895"/>
    </row>
    <row r="103" spans="1:14" x14ac:dyDescent="0.3">
      <c r="A103" s="895"/>
      <c r="B103" s="895"/>
      <c r="C103" s="895"/>
      <c r="D103" s="895"/>
      <c r="E103" s="895"/>
      <c r="F103" s="895"/>
      <c r="G103" s="895"/>
      <c r="H103" s="895"/>
      <c r="I103" s="895"/>
      <c r="J103" s="895"/>
      <c r="K103" s="895"/>
      <c r="L103" s="895"/>
      <c r="M103" s="895"/>
      <c r="N103" s="895"/>
    </row>
    <row r="104" spans="1:14" x14ac:dyDescent="0.3">
      <c r="A104" s="895"/>
      <c r="B104" s="895"/>
      <c r="C104" s="895"/>
      <c r="D104" s="895"/>
      <c r="E104" s="895"/>
      <c r="F104" s="895"/>
      <c r="G104" s="895"/>
      <c r="H104" s="895"/>
      <c r="I104" s="895"/>
      <c r="J104" s="895"/>
      <c r="K104" s="895"/>
      <c r="L104" s="895"/>
      <c r="M104" s="895"/>
      <c r="N104" s="895"/>
    </row>
    <row r="105" spans="1:14" x14ac:dyDescent="0.3">
      <c r="A105" s="895"/>
      <c r="B105" s="895"/>
      <c r="C105" s="895"/>
      <c r="D105" s="895"/>
      <c r="E105" s="895"/>
      <c r="F105" s="895"/>
      <c r="G105" s="895"/>
      <c r="H105" s="895"/>
      <c r="I105" s="895"/>
      <c r="J105" s="895"/>
      <c r="K105" s="895"/>
      <c r="L105" s="895"/>
      <c r="M105" s="895"/>
      <c r="N105" s="895"/>
    </row>
    <row r="106" spans="1:14" x14ac:dyDescent="0.3">
      <c r="A106" s="895"/>
      <c r="B106" s="895"/>
      <c r="C106" s="895"/>
      <c r="D106" s="895"/>
      <c r="E106" s="895"/>
      <c r="F106" s="895"/>
      <c r="G106" s="895"/>
      <c r="H106" s="895"/>
      <c r="I106" s="895"/>
      <c r="J106" s="895"/>
      <c r="K106" s="895"/>
      <c r="L106" s="895"/>
      <c r="M106" s="895"/>
      <c r="N106" s="895"/>
    </row>
    <row r="107" spans="1:14" x14ac:dyDescent="0.3">
      <c r="A107" s="895"/>
      <c r="B107" s="895"/>
      <c r="C107" s="895"/>
      <c r="D107" s="895"/>
      <c r="E107" s="895"/>
      <c r="F107" s="895"/>
      <c r="G107" s="895"/>
      <c r="H107" s="895"/>
      <c r="I107" s="895"/>
      <c r="J107" s="895"/>
      <c r="K107" s="895"/>
      <c r="L107" s="895"/>
      <c r="M107" s="895"/>
      <c r="N107" s="895"/>
    </row>
    <row r="108" spans="1:14" x14ac:dyDescent="0.3">
      <c r="A108" s="895"/>
      <c r="B108" s="895"/>
      <c r="C108" s="895"/>
      <c r="D108" s="895"/>
      <c r="E108" s="895"/>
      <c r="F108" s="895"/>
      <c r="G108" s="895"/>
      <c r="H108" s="895"/>
      <c r="I108" s="895"/>
      <c r="J108" s="895"/>
      <c r="K108" s="895"/>
      <c r="L108" s="895"/>
      <c r="M108" s="895"/>
      <c r="N108" s="895"/>
    </row>
    <row r="109" spans="1:14" x14ac:dyDescent="0.3">
      <c r="A109" s="895"/>
      <c r="B109" s="895"/>
      <c r="C109" s="895"/>
      <c r="D109" s="895"/>
      <c r="E109" s="895"/>
      <c r="F109" s="895"/>
      <c r="G109" s="895"/>
      <c r="H109" s="895"/>
      <c r="I109" s="895"/>
      <c r="J109" s="895"/>
      <c r="K109" s="895"/>
      <c r="L109" s="895"/>
      <c r="M109" s="895"/>
      <c r="N109" s="895"/>
    </row>
    <row r="110" spans="1:14" x14ac:dyDescent="0.3">
      <c r="A110" s="895"/>
      <c r="B110" s="895"/>
      <c r="C110" s="895"/>
      <c r="D110" s="895"/>
      <c r="E110" s="895"/>
      <c r="F110" s="895"/>
      <c r="G110" s="895"/>
      <c r="H110" s="895"/>
      <c r="I110" s="895"/>
      <c r="J110" s="895"/>
      <c r="K110" s="895"/>
      <c r="L110" s="895"/>
      <c r="M110" s="895"/>
      <c r="N110" s="895"/>
    </row>
    <row r="111" spans="1:14" x14ac:dyDescent="0.3">
      <c r="A111" s="895"/>
      <c r="B111" s="895"/>
      <c r="C111" s="895"/>
      <c r="D111" s="895"/>
      <c r="E111" s="895"/>
      <c r="F111" s="895"/>
      <c r="G111" s="895"/>
      <c r="H111" s="895"/>
      <c r="I111" s="895"/>
      <c r="J111" s="895"/>
      <c r="K111" s="895"/>
      <c r="L111" s="895"/>
      <c r="M111" s="895"/>
      <c r="N111" s="895"/>
    </row>
    <row r="112" spans="1:14" x14ac:dyDescent="0.3">
      <c r="A112" s="895"/>
      <c r="B112" s="895"/>
      <c r="C112" s="895"/>
      <c r="D112" s="895"/>
      <c r="E112" s="895"/>
      <c r="F112" s="895"/>
      <c r="G112" s="895"/>
      <c r="H112" s="895"/>
      <c r="I112" s="895"/>
      <c r="J112" s="895"/>
      <c r="K112" s="895"/>
      <c r="L112" s="895"/>
      <c r="M112" s="895"/>
      <c r="N112" s="895"/>
    </row>
    <row r="113" spans="1:14" x14ac:dyDescent="0.3">
      <c r="A113" s="895"/>
      <c r="B113" s="895"/>
      <c r="C113" s="895"/>
      <c r="D113" s="895"/>
      <c r="E113" s="895"/>
      <c r="F113" s="895"/>
      <c r="G113" s="895"/>
      <c r="H113" s="895"/>
      <c r="I113" s="895"/>
      <c r="J113" s="895"/>
      <c r="K113" s="895"/>
      <c r="L113" s="895"/>
      <c r="M113" s="895"/>
      <c r="N113" s="895"/>
    </row>
    <row r="114" spans="1:14" x14ac:dyDescent="0.3">
      <c r="A114" s="895"/>
      <c r="B114" s="895"/>
      <c r="C114" s="895"/>
      <c r="D114" s="895"/>
      <c r="E114" s="895"/>
      <c r="F114" s="895"/>
      <c r="G114" s="895"/>
      <c r="H114" s="895"/>
      <c r="I114" s="895"/>
      <c r="J114" s="895"/>
      <c r="K114" s="895"/>
      <c r="L114" s="895"/>
      <c r="M114" s="895"/>
      <c r="N114" s="895"/>
    </row>
    <row r="115" spans="1:14" x14ac:dyDescent="0.3">
      <c r="A115" s="895"/>
      <c r="B115" s="895"/>
      <c r="C115" s="895"/>
      <c r="D115" s="895"/>
      <c r="E115" s="895"/>
      <c r="F115" s="895"/>
      <c r="G115" s="895"/>
      <c r="H115" s="895"/>
      <c r="I115" s="895"/>
      <c r="J115" s="895"/>
      <c r="K115" s="895"/>
      <c r="L115" s="895"/>
      <c r="M115" s="895"/>
      <c r="N115" s="895"/>
    </row>
    <row r="116" spans="1:14" x14ac:dyDescent="0.3">
      <c r="A116" s="895"/>
      <c r="B116" s="895"/>
      <c r="C116" s="895"/>
      <c r="D116" s="895"/>
      <c r="E116" s="895"/>
      <c r="F116" s="895"/>
      <c r="G116" s="895"/>
      <c r="H116" s="895"/>
      <c r="I116" s="895"/>
      <c r="J116" s="895"/>
      <c r="K116" s="895"/>
      <c r="L116" s="895"/>
      <c r="M116" s="895"/>
      <c r="N116" s="895"/>
    </row>
    <row r="117" spans="1:14" x14ac:dyDescent="0.3">
      <c r="A117" s="895"/>
      <c r="B117" s="895"/>
      <c r="C117" s="895"/>
      <c r="D117" s="895"/>
      <c r="E117" s="895"/>
      <c r="F117" s="895"/>
      <c r="G117" s="895"/>
      <c r="H117" s="895"/>
      <c r="I117" s="895"/>
      <c r="J117" s="895"/>
      <c r="K117" s="895"/>
      <c r="L117" s="895"/>
      <c r="M117" s="895"/>
      <c r="N117" s="895"/>
    </row>
    <row r="118" spans="1:14" x14ac:dyDescent="0.3">
      <c r="A118" s="895"/>
      <c r="B118" s="895"/>
      <c r="C118" s="895"/>
      <c r="D118" s="895"/>
      <c r="E118" s="895"/>
      <c r="F118" s="895"/>
      <c r="G118" s="895"/>
      <c r="H118" s="895"/>
      <c r="I118" s="895"/>
      <c r="J118" s="895"/>
      <c r="K118" s="895"/>
      <c r="L118" s="895"/>
      <c r="M118" s="895"/>
      <c r="N118" s="895"/>
    </row>
    <row r="119" spans="1:14" x14ac:dyDescent="0.3">
      <c r="A119" s="895"/>
      <c r="B119" s="895"/>
      <c r="C119" s="895"/>
      <c r="D119" s="895"/>
      <c r="E119" s="895"/>
      <c r="F119" s="895"/>
      <c r="G119" s="895"/>
      <c r="H119" s="895"/>
      <c r="I119" s="895"/>
      <c r="J119" s="895"/>
      <c r="K119" s="895"/>
      <c r="L119" s="895"/>
      <c r="M119" s="895"/>
      <c r="N119" s="895"/>
    </row>
    <row r="120" spans="1:14" x14ac:dyDescent="0.3">
      <c r="A120" s="895"/>
      <c r="B120" s="895"/>
      <c r="C120" s="895"/>
      <c r="D120" s="895"/>
      <c r="E120" s="895"/>
      <c r="F120" s="895"/>
      <c r="G120" s="895"/>
      <c r="H120" s="895"/>
      <c r="I120" s="895"/>
      <c r="J120" s="895"/>
      <c r="K120" s="895"/>
      <c r="L120" s="895"/>
      <c r="M120" s="895"/>
      <c r="N120" s="895"/>
    </row>
    <row r="121" spans="1:14" x14ac:dyDescent="0.3">
      <c r="A121" s="895"/>
      <c r="B121" s="895"/>
      <c r="C121" s="895"/>
      <c r="D121" s="895"/>
      <c r="E121" s="895"/>
      <c r="F121" s="895"/>
      <c r="G121" s="895"/>
      <c r="H121" s="895"/>
      <c r="I121" s="895"/>
      <c r="J121" s="895"/>
      <c r="K121" s="895"/>
      <c r="L121" s="895"/>
      <c r="M121" s="895"/>
      <c r="N121" s="895"/>
    </row>
    <row r="122" spans="1:14" x14ac:dyDescent="0.3">
      <c r="A122" s="895"/>
      <c r="B122" s="895"/>
      <c r="C122" s="895"/>
      <c r="D122" s="895"/>
      <c r="E122" s="895"/>
      <c r="F122" s="895"/>
      <c r="G122" s="895"/>
      <c r="H122" s="895"/>
      <c r="I122" s="895"/>
      <c r="J122" s="895"/>
      <c r="K122" s="895"/>
      <c r="L122" s="895"/>
      <c r="M122" s="895"/>
      <c r="N122" s="895"/>
    </row>
    <row r="123" spans="1:14" x14ac:dyDescent="0.3">
      <c r="A123" s="895"/>
      <c r="B123" s="895"/>
      <c r="C123" s="895"/>
      <c r="D123" s="895"/>
      <c r="E123" s="895"/>
      <c r="F123" s="895"/>
      <c r="G123" s="895"/>
      <c r="H123" s="895"/>
      <c r="I123" s="895"/>
      <c r="J123" s="895"/>
      <c r="K123" s="895"/>
      <c r="L123" s="895"/>
      <c r="M123" s="895"/>
      <c r="N123" s="895"/>
    </row>
    <row r="124" spans="1:14" x14ac:dyDescent="0.3">
      <c r="A124" s="895"/>
      <c r="B124" s="895"/>
      <c r="C124" s="895"/>
      <c r="D124" s="895"/>
      <c r="E124" s="895"/>
      <c r="F124" s="895"/>
      <c r="G124" s="895"/>
      <c r="H124" s="895"/>
      <c r="I124" s="895"/>
      <c r="J124" s="895"/>
      <c r="K124" s="895"/>
      <c r="L124" s="895"/>
      <c r="M124" s="895"/>
      <c r="N124" s="895"/>
    </row>
    <row r="125" spans="1:14" x14ac:dyDescent="0.3">
      <c r="A125" s="895"/>
      <c r="B125" s="895"/>
      <c r="C125" s="895"/>
      <c r="D125" s="895"/>
      <c r="E125" s="895"/>
      <c r="F125" s="895"/>
      <c r="G125" s="895"/>
      <c r="H125" s="895"/>
      <c r="I125" s="895"/>
      <c r="J125" s="895"/>
      <c r="K125" s="895"/>
      <c r="L125" s="895"/>
      <c r="M125" s="895"/>
      <c r="N125" s="895"/>
    </row>
    <row r="126" spans="1:14" x14ac:dyDescent="0.3">
      <c r="A126" s="895"/>
      <c r="B126" s="895"/>
      <c r="C126" s="895"/>
      <c r="D126" s="895"/>
      <c r="E126" s="895"/>
      <c r="F126" s="895"/>
      <c r="G126" s="895"/>
      <c r="H126" s="895"/>
      <c r="I126" s="895"/>
      <c r="J126" s="895"/>
      <c r="K126" s="895"/>
      <c r="L126" s="895"/>
      <c r="M126" s="895"/>
      <c r="N126" s="895"/>
    </row>
    <row r="127" spans="1:14" x14ac:dyDescent="0.3">
      <c r="A127" s="895"/>
      <c r="B127" s="895"/>
      <c r="C127" s="895"/>
      <c r="D127" s="895"/>
      <c r="E127" s="895"/>
      <c r="F127" s="895"/>
      <c r="G127" s="895"/>
      <c r="H127" s="895"/>
      <c r="I127" s="895"/>
      <c r="J127" s="895"/>
      <c r="K127" s="895"/>
      <c r="L127" s="895"/>
      <c r="M127" s="895"/>
      <c r="N127" s="895"/>
    </row>
    <row r="128" spans="1:14" x14ac:dyDescent="0.3">
      <c r="A128" s="895"/>
      <c r="B128" s="895"/>
      <c r="C128" s="895"/>
      <c r="D128" s="895"/>
      <c r="E128" s="895"/>
      <c r="F128" s="895"/>
      <c r="G128" s="895"/>
      <c r="H128" s="895"/>
      <c r="I128" s="895"/>
      <c r="J128" s="895"/>
      <c r="K128" s="895"/>
      <c r="L128" s="895"/>
      <c r="M128" s="895"/>
      <c r="N128" s="895"/>
    </row>
    <row r="129" spans="1:14" x14ac:dyDescent="0.3">
      <c r="A129" s="895"/>
      <c r="B129" s="895"/>
      <c r="C129" s="895"/>
      <c r="D129" s="895"/>
      <c r="E129" s="895"/>
      <c r="F129" s="895"/>
      <c r="G129" s="895"/>
      <c r="H129" s="895"/>
      <c r="I129" s="895"/>
      <c r="J129" s="895"/>
      <c r="K129" s="895"/>
      <c r="L129" s="895"/>
      <c r="M129" s="895"/>
      <c r="N129" s="895"/>
    </row>
    <row r="130" spans="1:14" x14ac:dyDescent="0.3">
      <c r="A130" s="895"/>
      <c r="B130" s="895"/>
      <c r="C130" s="895"/>
      <c r="D130" s="895"/>
      <c r="E130" s="895"/>
      <c r="F130" s="895"/>
      <c r="G130" s="895"/>
      <c r="H130" s="895"/>
      <c r="I130" s="895"/>
      <c r="J130" s="895"/>
      <c r="K130" s="895"/>
      <c r="L130" s="895"/>
      <c r="M130" s="895"/>
      <c r="N130" s="895"/>
    </row>
    <row r="131" spans="1:14" x14ac:dyDescent="0.3">
      <c r="A131" s="895"/>
      <c r="B131" s="895"/>
      <c r="C131" s="895"/>
      <c r="D131" s="895"/>
      <c r="E131" s="895"/>
      <c r="F131" s="895"/>
      <c r="G131" s="895"/>
      <c r="H131" s="895"/>
      <c r="I131" s="895"/>
      <c r="J131" s="895"/>
      <c r="K131" s="895"/>
      <c r="L131" s="895"/>
      <c r="M131" s="895"/>
      <c r="N131" s="895"/>
    </row>
    <row r="132" spans="1:14" x14ac:dyDescent="0.3">
      <c r="A132" s="895"/>
      <c r="B132" s="895"/>
      <c r="C132" s="895"/>
      <c r="D132" s="895"/>
      <c r="E132" s="895"/>
      <c r="F132" s="895"/>
      <c r="G132" s="895"/>
      <c r="H132" s="895"/>
      <c r="I132" s="895"/>
      <c r="J132" s="895"/>
      <c r="K132" s="895"/>
      <c r="L132" s="895"/>
      <c r="M132" s="895"/>
      <c r="N132" s="895"/>
    </row>
    <row r="133" spans="1:14" x14ac:dyDescent="0.3">
      <c r="A133" s="895"/>
      <c r="B133" s="895"/>
      <c r="C133" s="895"/>
      <c r="D133" s="895"/>
      <c r="E133" s="895"/>
      <c r="F133" s="895"/>
      <c r="G133" s="895"/>
      <c r="H133" s="895"/>
      <c r="I133" s="895"/>
      <c r="J133" s="895"/>
      <c r="K133" s="895"/>
      <c r="L133" s="895"/>
      <c r="M133" s="895"/>
      <c r="N133" s="895"/>
    </row>
    <row r="134" spans="1:14" x14ac:dyDescent="0.3">
      <c r="A134" s="895"/>
      <c r="B134" s="895"/>
      <c r="C134" s="895"/>
      <c r="D134" s="895"/>
      <c r="E134" s="895"/>
      <c r="F134" s="895"/>
      <c r="G134" s="895"/>
      <c r="H134" s="895"/>
      <c r="I134" s="895"/>
      <c r="J134" s="895"/>
      <c r="K134" s="895"/>
      <c r="L134" s="895"/>
      <c r="M134" s="895"/>
      <c r="N134" s="895"/>
    </row>
    <row r="135" spans="1:14" x14ac:dyDescent="0.3">
      <c r="A135" s="895"/>
      <c r="B135" s="895"/>
      <c r="C135" s="895"/>
      <c r="D135" s="895"/>
      <c r="E135" s="895"/>
      <c r="F135" s="895"/>
      <c r="G135" s="895"/>
      <c r="H135" s="895"/>
      <c r="I135" s="895"/>
      <c r="J135" s="895"/>
      <c r="K135" s="895"/>
      <c r="L135" s="895"/>
      <c r="M135" s="895"/>
      <c r="N135" s="895"/>
    </row>
    <row r="136" spans="1:14" x14ac:dyDescent="0.3">
      <c r="A136" s="895"/>
      <c r="B136" s="895"/>
      <c r="C136" s="895"/>
      <c r="D136" s="895"/>
      <c r="E136" s="895"/>
      <c r="F136" s="895"/>
      <c r="G136" s="895"/>
      <c r="H136" s="895"/>
      <c r="I136" s="895"/>
      <c r="J136" s="895"/>
      <c r="K136" s="895"/>
      <c r="L136" s="895"/>
      <c r="M136" s="895"/>
      <c r="N136" s="895"/>
    </row>
    <row r="137" spans="1:14" x14ac:dyDescent="0.3">
      <c r="A137" s="895"/>
      <c r="B137" s="895"/>
      <c r="C137" s="895"/>
      <c r="D137" s="895"/>
      <c r="E137" s="895"/>
      <c r="F137" s="895"/>
      <c r="G137" s="895"/>
      <c r="H137" s="895"/>
      <c r="I137" s="895"/>
      <c r="J137" s="895"/>
      <c r="K137" s="895"/>
      <c r="L137" s="895"/>
      <c r="M137" s="895"/>
      <c r="N137" s="895"/>
    </row>
    <row r="138" spans="1:14" x14ac:dyDescent="0.3">
      <c r="A138" s="895"/>
      <c r="B138" s="895"/>
      <c r="C138" s="895"/>
      <c r="D138" s="895"/>
      <c r="E138" s="895"/>
      <c r="F138" s="895"/>
      <c r="G138" s="895"/>
      <c r="H138" s="895"/>
      <c r="I138" s="895"/>
      <c r="J138" s="895"/>
      <c r="K138" s="895"/>
      <c r="L138" s="895"/>
      <c r="M138" s="895"/>
      <c r="N138" s="895"/>
    </row>
    <row r="139" spans="1:14" x14ac:dyDescent="0.3">
      <c r="A139" s="895"/>
      <c r="B139" s="895"/>
      <c r="C139" s="895"/>
      <c r="D139" s="895"/>
      <c r="E139" s="895"/>
      <c r="F139" s="895"/>
      <c r="G139" s="895"/>
      <c r="H139" s="895"/>
      <c r="I139" s="895"/>
      <c r="J139" s="895"/>
      <c r="K139" s="895"/>
      <c r="L139" s="895"/>
      <c r="M139" s="895"/>
      <c r="N139" s="895"/>
    </row>
    <row r="140" spans="1:14" x14ac:dyDescent="0.3">
      <c r="A140" s="895"/>
      <c r="B140" s="895"/>
      <c r="C140" s="895"/>
      <c r="D140" s="895"/>
      <c r="E140" s="895"/>
      <c r="F140" s="895"/>
      <c r="G140" s="895"/>
      <c r="H140" s="895"/>
      <c r="I140" s="895"/>
      <c r="J140" s="895"/>
      <c r="K140" s="895"/>
      <c r="L140" s="895"/>
      <c r="M140" s="895"/>
      <c r="N140" s="895"/>
    </row>
    <row r="141" spans="1:14" x14ac:dyDescent="0.3">
      <c r="A141" s="895"/>
      <c r="B141" s="895"/>
      <c r="C141" s="895"/>
      <c r="D141" s="895"/>
      <c r="E141" s="895"/>
      <c r="F141" s="895"/>
      <c r="G141" s="895"/>
      <c r="H141" s="895"/>
      <c r="I141" s="895"/>
      <c r="J141" s="895"/>
      <c r="K141" s="895"/>
      <c r="L141" s="895"/>
      <c r="M141" s="895"/>
      <c r="N141" s="895"/>
    </row>
    <row r="142" spans="1:14" x14ac:dyDescent="0.3">
      <c r="A142" s="895"/>
      <c r="B142" s="895"/>
      <c r="C142" s="895"/>
      <c r="D142" s="895"/>
      <c r="E142" s="895"/>
      <c r="F142" s="895"/>
      <c r="G142" s="895"/>
      <c r="H142" s="895"/>
      <c r="I142" s="895"/>
      <c r="J142" s="895"/>
      <c r="K142" s="895"/>
      <c r="L142" s="895"/>
      <c r="M142" s="895"/>
      <c r="N142" s="895"/>
    </row>
    <row r="143" spans="1:14" x14ac:dyDescent="0.3">
      <c r="A143" s="895"/>
      <c r="B143" s="895"/>
      <c r="C143" s="895"/>
      <c r="D143" s="895"/>
      <c r="E143" s="895"/>
      <c r="F143" s="895"/>
      <c r="G143" s="895"/>
      <c r="H143" s="895"/>
      <c r="I143" s="895"/>
      <c r="J143" s="895"/>
      <c r="K143" s="895"/>
      <c r="L143" s="895"/>
      <c r="M143" s="895"/>
      <c r="N143" s="895"/>
    </row>
    <row r="144" spans="1:14" x14ac:dyDescent="0.3">
      <c r="A144" s="895"/>
      <c r="B144" s="895"/>
      <c r="C144" s="895"/>
      <c r="D144" s="895"/>
      <c r="E144" s="895"/>
      <c r="F144" s="895"/>
      <c r="G144" s="895"/>
      <c r="H144" s="895"/>
      <c r="I144" s="895"/>
      <c r="J144" s="895"/>
      <c r="K144" s="895"/>
      <c r="L144" s="895"/>
      <c r="M144" s="895"/>
      <c r="N144" s="895"/>
    </row>
    <row r="145" spans="1:14" x14ac:dyDescent="0.3">
      <c r="A145" s="895"/>
      <c r="B145" s="895"/>
      <c r="C145" s="895"/>
      <c r="D145" s="895"/>
      <c r="E145" s="895"/>
      <c r="F145" s="895"/>
      <c r="G145" s="895"/>
      <c r="H145" s="895"/>
      <c r="I145" s="895"/>
      <c r="J145" s="895"/>
      <c r="K145" s="895"/>
      <c r="L145" s="895"/>
      <c r="M145" s="895"/>
      <c r="N145" s="895"/>
    </row>
    <row r="146" spans="1:14" x14ac:dyDescent="0.3">
      <c r="A146" s="895"/>
      <c r="B146" s="895"/>
      <c r="C146" s="895"/>
      <c r="D146" s="895"/>
      <c r="E146" s="895"/>
      <c r="F146" s="895"/>
      <c r="G146" s="895"/>
      <c r="H146" s="895"/>
      <c r="I146" s="895"/>
      <c r="J146" s="895"/>
      <c r="K146" s="895"/>
      <c r="L146" s="895"/>
      <c r="M146" s="895"/>
      <c r="N146" s="895"/>
    </row>
    <row r="147" spans="1:14" x14ac:dyDescent="0.3">
      <c r="A147" s="895"/>
      <c r="B147" s="895"/>
      <c r="C147" s="895"/>
      <c r="D147" s="895"/>
      <c r="E147" s="895"/>
      <c r="F147" s="895"/>
      <c r="G147" s="895"/>
      <c r="H147" s="895"/>
      <c r="I147" s="895"/>
      <c r="J147" s="895"/>
      <c r="K147" s="895"/>
      <c r="L147" s="895"/>
      <c r="M147" s="895"/>
      <c r="N147" s="895"/>
    </row>
    <row r="148" spans="1:14" x14ac:dyDescent="0.3">
      <c r="A148" s="895"/>
      <c r="B148" s="895"/>
      <c r="C148" s="895"/>
      <c r="D148" s="895"/>
      <c r="E148" s="895"/>
      <c r="F148" s="895"/>
      <c r="G148" s="895"/>
      <c r="H148" s="895"/>
      <c r="I148" s="895"/>
      <c r="J148" s="895"/>
      <c r="K148" s="895"/>
      <c r="L148" s="895"/>
      <c r="M148" s="895"/>
      <c r="N148" s="895"/>
    </row>
    <row r="149" spans="1:14" x14ac:dyDescent="0.3">
      <c r="A149" s="895"/>
      <c r="B149" s="895"/>
      <c r="C149" s="895"/>
      <c r="D149" s="895"/>
      <c r="E149" s="895"/>
      <c r="F149" s="895"/>
      <c r="G149" s="895"/>
      <c r="H149" s="895"/>
      <c r="I149" s="895"/>
      <c r="J149" s="895"/>
      <c r="K149" s="895"/>
      <c r="L149" s="895"/>
      <c r="M149" s="895"/>
      <c r="N149" s="895"/>
    </row>
    <row r="150" spans="1:14" x14ac:dyDescent="0.3">
      <c r="A150" s="895"/>
      <c r="B150" s="895"/>
      <c r="C150" s="895"/>
      <c r="D150" s="895"/>
      <c r="E150" s="895"/>
      <c r="F150" s="895"/>
      <c r="G150" s="895"/>
      <c r="H150" s="895"/>
      <c r="I150" s="895"/>
      <c r="J150" s="895"/>
      <c r="K150" s="895"/>
      <c r="L150" s="895"/>
      <c r="M150" s="895"/>
      <c r="N150" s="895"/>
    </row>
    <row r="151" spans="1:14" x14ac:dyDescent="0.3">
      <c r="A151" s="895"/>
      <c r="B151" s="895"/>
      <c r="C151" s="895"/>
      <c r="D151" s="895"/>
      <c r="E151" s="895"/>
      <c r="F151" s="895"/>
      <c r="G151" s="895"/>
      <c r="H151" s="895"/>
      <c r="I151" s="895"/>
      <c r="J151" s="895"/>
      <c r="K151" s="895"/>
      <c r="L151" s="895"/>
      <c r="M151" s="895"/>
      <c r="N151" s="895"/>
    </row>
    <row r="152" spans="1:14" x14ac:dyDescent="0.3">
      <c r="A152" s="895"/>
      <c r="B152" s="895"/>
      <c r="C152" s="895"/>
      <c r="D152" s="895"/>
      <c r="E152" s="895"/>
      <c r="F152" s="895"/>
      <c r="G152" s="895"/>
      <c r="H152" s="895"/>
      <c r="I152" s="895"/>
      <c r="J152" s="895"/>
      <c r="K152" s="895"/>
      <c r="L152" s="895"/>
      <c r="M152" s="895"/>
      <c r="N152" s="895"/>
    </row>
    <row r="153" spans="1:14" x14ac:dyDescent="0.3">
      <c r="A153" s="895"/>
      <c r="B153" s="895"/>
      <c r="C153" s="895"/>
      <c r="D153" s="895"/>
      <c r="E153" s="895"/>
      <c r="F153" s="895"/>
      <c r="G153" s="895"/>
      <c r="H153" s="895"/>
      <c r="I153" s="895"/>
      <c r="J153" s="895"/>
      <c r="K153" s="895"/>
      <c r="L153" s="895"/>
      <c r="M153" s="895"/>
      <c r="N153" s="895"/>
    </row>
    <row r="154" spans="1:14" x14ac:dyDescent="0.3">
      <c r="A154" s="895"/>
      <c r="B154" s="895"/>
      <c r="C154" s="895"/>
      <c r="D154" s="895"/>
      <c r="E154" s="895"/>
      <c r="F154" s="895"/>
      <c r="G154" s="895"/>
      <c r="H154" s="895"/>
      <c r="I154" s="895"/>
      <c r="J154" s="895"/>
      <c r="K154" s="895"/>
      <c r="L154" s="895"/>
      <c r="M154" s="895"/>
      <c r="N154" s="895"/>
    </row>
    <row r="155" spans="1:14" x14ac:dyDescent="0.3">
      <c r="A155" s="895"/>
      <c r="B155" s="895"/>
      <c r="C155" s="895"/>
      <c r="D155" s="895"/>
      <c r="E155" s="895"/>
      <c r="F155" s="895"/>
      <c r="G155" s="895"/>
      <c r="H155" s="895"/>
      <c r="I155" s="895"/>
      <c r="J155" s="895"/>
      <c r="K155" s="895"/>
      <c r="L155" s="895"/>
      <c r="M155" s="895"/>
      <c r="N155" s="895"/>
    </row>
    <row r="156" spans="1:14" x14ac:dyDescent="0.3">
      <c r="A156" s="895"/>
      <c r="B156" s="895"/>
      <c r="C156" s="895"/>
      <c r="D156" s="895"/>
      <c r="E156" s="895"/>
      <c r="F156" s="895"/>
      <c r="G156" s="895"/>
      <c r="H156" s="895"/>
      <c r="I156" s="895"/>
      <c r="J156" s="895"/>
      <c r="K156" s="895"/>
      <c r="L156" s="895"/>
      <c r="M156" s="895"/>
      <c r="N156" s="895"/>
    </row>
    <row r="157" spans="1:14" x14ac:dyDescent="0.3">
      <c r="A157" s="895"/>
      <c r="B157" s="895"/>
      <c r="C157" s="895"/>
      <c r="D157" s="895"/>
      <c r="E157" s="895"/>
      <c r="F157" s="895"/>
      <c r="G157" s="895"/>
      <c r="H157" s="895"/>
      <c r="I157" s="895"/>
      <c r="J157" s="895"/>
      <c r="K157" s="895"/>
      <c r="L157" s="895"/>
      <c r="M157" s="895"/>
      <c r="N157" s="895"/>
    </row>
    <row r="158" spans="1:14" x14ac:dyDescent="0.3">
      <c r="A158" s="895"/>
      <c r="B158" s="895"/>
      <c r="C158" s="895"/>
      <c r="D158" s="895"/>
      <c r="E158" s="895"/>
      <c r="F158" s="895"/>
      <c r="G158" s="895"/>
      <c r="H158" s="895"/>
      <c r="I158" s="895"/>
      <c r="J158" s="895"/>
      <c r="K158" s="895"/>
      <c r="L158" s="895"/>
      <c r="M158" s="895"/>
      <c r="N158" s="895"/>
    </row>
    <row r="159" spans="1:14" x14ac:dyDescent="0.3">
      <c r="A159" s="895"/>
      <c r="B159" s="895"/>
      <c r="C159" s="895"/>
      <c r="D159" s="895"/>
      <c r="E159" s="895"/>
      <c r="F159" s="895"/>
      <c r="G159" s="895"/>
      <c r="H159" s="895"/>
      <c r="I159" s="895"/>
      <c r="J159" s="895"/>
      <c r="K159" s="895"/>
      <c r="L159" s="895"/>
      <c r="M159" s="895"/>
      <c r="N159" s="895"/>
    </row>
    <row r="160" spans="1:14" x14ac:dyDescent="0.3">
      <c r="A160" s="895"/>
      <c r="B160" s="895"/>
      <c r="C160" s="895"/>
      <c r="D160" s="895"/>
      <c r="E160" s="895"/>
      <c r="F160" s="895"/>
      <c r="G160" s="895"/>
      <c r="H160" s="895"/>
      <c r="I160" s="895"/>
      <c r="J160" s="895"/>
      <c r="K160" s="895"/>
      <c r="L160" s="895"/>
      <c r="M160" s="895"/>
      <c r="N160" s="895"/>
    </row>
    <row r="161" spans="1:14" x14ac:dyDescent="0.3">
      <c r="A161" s="895"/>
      <c r="B161" s="895"/>
      <c r="C161" s="895"/>
      <c r="D161" s="895"/>
      <c r="E161" s="895"/>
      <c r="F161" s="895"/>
      <c r="G161" s="895"/>
      <c r="H161" s="895"/>
      <c r="I161" s="895"/>
      <c r="J161" s="895"/>
      <c r="K161" s="895"/>
      <c r="L161" s="895"/>
      <c r="M161" s="895"/>
      <c r="N161" s="895"/>
    </row>
    <row r="162" spans="1:14" x14ac:dyDescent="0.3">
      <c r="A162" s="895"/>
      <c r="B162" s="895"/>
      <c r="C162" s="895"/>
      <c r="D162" s="895"/>
      <c r="E162" s="895"/>
      <c r="F162" s="895"/>
      <c r="G162" s="895"/>
      <c r="H162" s="895"/>
      <c r="I162" s="895"/>
      <c r="J162" s="895"/>
      <c r="K162" s="895"/>
      <c r="L162" s="895"/>
      <c r="M162" s="895"/>
      <c r="N162" s="895"/>
    </row>
    <row r="163" spans="1:14" x14ac:dyDescent="0.3">
      <c r="A163" s="895"/>
      <c r="B163" s="895"/>
      <c r="C163" s="895"/>
      <c r="D163" s="895"/>
      <c r="E163" s="895"/>
      <c r="F163" s="895"/>
      <c r="G163" s="895"/>
      <c r="H163" s="895"/>
      <c r="I163" s="895"/>
      <c r="J163" s="895"/>
      <c r="K163" s="895"/>
      <c r="L163" s="895"/>
      <c r="M163" s="895"/>
      <c r="N163" s="895"/>
    </row>
    <row r="164" spans="1:14" x14ac:dyDescent="0.3">
      <c r="A164" s="895"/>
      <c r="B164" s="895"/>
      <c r="C164" s="895"/>
      <c r="D164" s="895"/>
      <c r="E164" s="895"/>
      <c r="F164" s="895"/>
      <c r="G164" s="895"/>
      <c r="H164" s="895"/>
      <c r="I164" s="895"/>
      <c r="J164" s="895"/>
      <c r="K164" s="895"/>
      <c r="L164" s="895"/>
      <c r="M164" s="895"/>
      <c r="N164" s="895"/>
    </row>
    <row r="165" spans="1:14" x14ac:dyDescent="0.3">
      <c r="A165" s="895"/>
      <c r="B165" s="895"/>
      <c r="C165" s="895"/>
      <c r="D165" s="895"/>
      <c r="E165" s="895"/>
      <c r="F165" s="895"/>
      <c r="G165" s="895"/>
      <c r="H165" s="895"/>
      <c r="I165" s="895"/>
      <c r="J165" s="895"/>
      <c r="K165" s="895"/>
      <c r="L165" s="895"/>
      <c r="M165" s="895"/>
      <c r="N165" s="895"/>
    </row>
    <row r="166" spans="1:14" x14ac:dyDescent="0.3">
      <c r="A166" s="895"/>
      <c r="B166" s="895"/>
      <c r="C166" s="895"/>
      <c r="D166" s="895"/>
      <c r="E166" s="895"/>
      <c r="F166" s="895"/>
      <c r="G166" s="895"/>
      <c r="H166" s="895"/>
      <c r="I166" s="895"/>
      <c r="J166" s="895"/>
      <c r="K166" s="895"/>
      <c r="L166" s="895"/>
      <c r="M166" s="895"/>
      <c r="N166" s="895"/>
    </row>
    <row r="167" spans="1:14" x14ac:dyDescent="0.3">
      <c r="A167" s="895"/>
      <c r="B167" s="895"/>
      <c r="C167" s="895"/>
      <c r="D167" s="895"/>
      <c r="E167" s="895"/>
      <c r="F167" s="895"/>
      <c r="G167" s="895"/>
      <c r="H167" s="895"/>
      <c r="I167" s="895"/>
      <c r="J167" s="895"/>
      <c r="K167" s="895"/>
      <c r="L167" s="895"/>
      <c r="M167" s="895"/>
      <c r="N167" s="895"/>
    </row>
    <row r="168" spans="1:14" x14ac:dyDescent="0.3">
      <c r="A168" s="895"/>
      <c r="B168" s="895"/>
      <c r="C168" s="895"/>
      <c r="D168" s="895"/>
      <c r="E168" s="895"/>
      <c r="F168" s="895"/>
      <c r="G168" s="895"/>
      <c r="H168" s="895"/>
      <c r="I168" s="895"/>
      <c r="J168" s="895"/>
      <c r="K168" s="895"/>
      <c r="L168" s="895"/>
      <c r="M168" s="895"/>
      <c r="N168" s="895"/>
    </row>
    <row r="169" spans="1:14" x14ac:dyDescent="0.3">
      <c r="A169" s="895"/>
      <c r="B169" s="895"/>
      <c r="C169" s="895"/>
      <c r="D169" s="895"/>
      <c r="E169" s="895"/>
      <c r="F169" s="895"/>
      <c r="G169" s="895"/>
      <c r="H169" s="895"/>
      <c r="I169" s="895"/>
      <c r="J169" s="895"/>
      <c r="K169" s="895"/>
      <c r="L169" s="895"/>
      <c r="M169" s="895"/>
      <c r="N169" s="895"/>
    </row>
    <row r="170" spans="1:14" x14ac:dyDescent="0.3">
      <c r="A170" s="895"/>
      <c r="B170" s="895"/>
      <c r="C170" s="895"/>
      <c r="D170" s="895"/>
      <c r="E170" s="895"/>
      <c r="F170" s="895"/>
      <c r="G170" s="895"/>
      <c r="H170" s="895"/>
      <c r="I170" s="895"/>
      <c r="J170" s="895"/>
      <c r="K170" s="895"/>
      <c r="L170" s="895"/>
      <c r="M170" s="895"/>
      <c r="N170" s="895"/>
    </row>
    <row r="171" spans="1:14" x14ac:dyDescent="0.3">
      <c r="A171" s="895"/>
      <c r="B171" s="895"/>
      <c r="C171" s="895"/>
      <c r="D171" s="895"/>
      <c r="E171" s="895"/>
      <c r="F171" s="895"/>
      <c r="G171" s="895"/>
      <c r="H171" s="895"/>
      <c r="I171" s="895"/>
      <c r="J171" s="895"/>
      <c r="K171" s="895"/>
      <c r="L171" s="895"/>
      <c r="M171" s="895"/>
      <c r="N171" s="895"/>
    </row>
    <row r="172" spans="1:14" x14ac:dyDescent="0.3">
      <c r="A172" s="895"/>
      <c r="B172" s="895"/>
      <c r="C172" s="895"/>
      <c r="D172" s="895"/>
      <c r="E172" s="895"/>
      <c r="F172" s="895"/>
      <c r="G172" s="895"/>
      <c r="H172" s="895"/>
      <c r="I172" s="895"/>
      <c r="J172" s="895"/>
      <c r="K172" s="895"/>
      <c r="L172" s="895"/>
      <c r="M172" s="895"/>
      <c r="N172" s="895"/>
    </row>
    <row r="173" spans="1:14" x14ac:dyDescent="0.3">
      <c r="A173" s="895"/>
      <c r="B173" s="895"/>
      <c r="C173" s="895"/>
      <c r="D173" s="895"/>
      <c r="E173" s="895"/>
      <c r="F173" s="895"/>
      <c r="G173" s="895"/>
      <c r="H173" s="895"/>
      <c r="I173" s="895"/>
      <c r="J173" s="895"/>
      <c r="K173" s="895"/>
      <c r="L173" s="895"/>
      <c r="M173" s="895"/>
      <c r="N173" s="895"/>
    </row>
    <row r="174" spans="1:14" x14ac:dyDescent="0.3">
      <c r="A174" s="895"/>
      <c r="B174" s="895"/>
      <c r="C174" s="895"/>
      <c r="D174" s="895"/>
      <c r="E174" s="895"/>
      <c r="F174" s="895"/>
      <c r="G174" s="895"/>
      <c r="H174" s="895"/>
      <c r="I174" s="895"/>
      <c r="J174" s="895"/>
      <c r="K174" s="895"/>
      <c r="L174" s="895"/>
      <c r="M174" s="895"/>
      <c r="N174" s="895"/>
    </row>
    <row r="175" spans="1:14" x14ac:dyDescent="0.3">
      <c r="A175" s="895"/>
      <c r="B175" s="895"/>
      <c r="C175" s="895"/>
      <c r="D175" s="895"/>
      <c r="E175" s="895"/>
      <c r="F175" s="895"/>
      <c r="G175" s="895"/>
      <c r="H175" s="895"/>
      <c r="I175" s="895"/>
      <c r="J175" s="895"/>
      <c r="K175" s="895"/>
      <c r="L175" s="895"/>
      <c r="M175" s="895"/>
      <c r="N175" s="895"/>
    </row>
    <row r="176" spans="1:14" x14ac:dyDescent="0.3">
      <c r="A176" s="895"/>
      <c r="B176" s="895"/>
      <c r="C176" s="895"/>
      <c r="D176" s="895"/>
      <c r="E176" s="895"/>
      <c r="F176" s="895"/>
      <c r="G176" s="895"/>
      <c r="H176" s="895"/>
      <c r="I176" s="895"/>
      <c r="J176" s="895"/>
      <c r="K176" s="895"/>
      <c r="L176" s="895"/>
      <c r="M176" s="895"/>
      <c r="N176" s="895"/>
    </row>
    <row r="177" spans="1:14" x14ac:dyDescent="0.3">
      <c r="A177" s="895"/>
      <c r="B177" s="895"/>
      <c r="C177" s="895"/>
      <c r="D177" s="895"/>
      <c r="E177" s="895"/>
      <c r="F177" s="895"/>
      <c r="G177" s="895"/>
      <c r="H177" s="895"/>
      <c r="I177" s="895"/>
      <c r="J177" s="895"/>
      <c r="K177" s="895"/>
      <c r="L177" s="895"/>
      <c r="M177" s="895"/>
      <c r="N177" s="895"/>
    </row>
    <row r="178" spans="1:14" x14ac:dyDescent="0.3">
      <c r="A178" s="895"/>
      <c r="B178" s="895"/>
      <c r="C178" s="895"/>
      <c r="D178" s="895"/>
      <c r="E178" s="895"/>
      <c r="F178" s="895"/>
      <c r="G178" s="895"/>
      <c r="H178" s="895"/>
      <c r="I178" s="895"/>
      <c r="J178" s="895"/>
      <c r="K178" s="895"/>
      <c r="L178" s="895"/>
      <c r="M178" s="895"/>
      <c r="N178" s="895"/>
    </row>
    <row r="179" spans="1:14" x14ac:dyDescent="0.3">
      <c r="A179" s="895"/>
      <c r="B179" s="895"/>
      <c r="C179" s="895"/>
      <c r="D179" s="895"/>
      <c r="E179" s="895"/>
      <c r="F179" s="895"/>
      <c r="G179" s="895"/>
      <c r="H179" s="895"/>
      <c r="I179" s="895"/>
      <c r="J179" s="895"/>
      <c r="K179" s="895"/>
      <c r="L179" s="895"/>
      <c r="M179" s="895"/>
      <c r="N179" s="895"/>
    </row>
    <row r="180" spans="1:14" x14ac:dyDescent="0.3">
      <c r="A180" s="895"/>
      <c r="B180" s="895"/>
      <c r="C180" s="895"/>
      <c r="D180" s="895"/>
      <c r="E180" s="895"/>
      <c r="F180" s="895"/>
      <c r="G180" s="895"/>
      <c r="H180" s="895"/>
      <c r="I180" s="895"/>
      <c r="J180" s="895"/>
      <c r="K180" s="895"/>
      <c r="L180" s="895"/>
      <c r="M180" s="895"/>
      <c r="N180" s="895"/>
    </row>
    <row r="181" spans="1:14" x14ac:dyDescent="0.3">
      <c r="A181" s="895"/>
      <c r="B181" s="895"/>
      <c r="C181" s="895"/>
      <c r="D181" s="895"/>
      <c r="E181" s="895"/>
      <c r="F181" s="895"/>
      <c r="G181" s="895"/>
      <c r="H181" s="895"/>
      <c r="I181" s="895"/>
      <c r="J181" s="895"/>
      <c r="K181" s="895"/>
      <c r="L181" s="895"/>
      <c r="M181" s="895"/>
      <c r="N181" s="895"/>
    </row>
    <row r="182" spans="1:14" x14ac:dyDescent="0.3">
      <c r="A182" s="895"/>
      <c r="B182" s="895"/>
      <c r="C182" s="895"/>
      <c r="D182" s="895"/>
      <c r="E182" s="895"/>
      <c r="F182" s="895"/>
      <c r="G182" s="895"/>
      <c r="H182" s="895"/>
      <c r="I182" s="895"/>
      <c r="J182" s="895"/>
      <c r="K182" s="895"/>
      <c r="L182" s="895"/>
      <c r="M182" s="895"/>
      <c r="N182" s="895"/>
    </row>
    <row r="183" spans="1:14" x14ac:dyDescent="0.3">
      <c r="A183" s="895"/>
      <c r="B183" s="895"/>
      <c r="C183" s="895"/>
      <c r="D183" s="895"/>
      <c r="E183" s="895"/>
      <c r="F183" s="895"/>
      <c r="G183" s="895"/>
      <c r="H183" s="895"/>
      <c r="I183" s="895"/>
      <c r="J183" s="895"/>
      <c r="K183" s="895"/>
      <c r="L183" s="895"/>
      <c r="M183" s="895"/>
      <c r="N183" s="895"/>
    </row>
    <row r="184" spans="1:14" x14ac:dyDescent="0.3">
      <c r="A184" s="895"/>
      <c r="B184" s="895"/>
      <c r="C184" s="895"/>
      <c r="D184" s="895"/>
      <c r="E184" s="895"/>
      <c r="F184" s="895"/>
      <c r="G184" s="895"/>
      <c r="H184" s="895"/>
      <c r="I184" s="895"/>
      <c r="J184" s="895"/>
      <c r="K184" s="895"/>
      <c r="L184" s="895"/>
      <c r="M184" s="895"/>
      <c r="N184" s="895"/>
    </row>
    <row r="185" spans="1:14" x14ac:dyDescent="0.3">
      <c r="A185" s="895"/>
      <c r="B185" s="895"/>
      <c r="C185" s="895"/>
      <c r="D185" s="895"/>
      <c r="E185" s="895"/>
      <c r="F185" s="895"/>
      <c r="G185" s="895"/>
      <c r="H185" s="895"/>
      <c r="I185" s="895"/>
      <c r="J185" s="895"/>
      <c r="K185" s="895"/>
      <c r="L185" s="895"/>
      <c r="M185" s="895"/>
      <c r="N185" s="895"/>
    </row>
    <row r="186" spans="1:14" x14ac:dyDescent="0.3">
      <c r="A186" s="895"/>
      <c r="B186" s="895"/>
      <c r="C186" s="895"/>
      <c r="D186" s="895"/>
      <c r="E186" s="895"/>
      <c r="F186" s="895"/>
      <c r="G186" s="895"/>
      <c r="H186" s="895"/>
      <c r="I186" s="895"/>
      <c r="J186" s="895"/>
      <c r="K186" s="895"/>
      <c r="L186" s="895"/>
      <c r="M186" s="895"/>
      <c r="N186" s="895"/>
    </row>
    <row r="187" spans="1:14" x14ac:dyDescent="0.3">
      <c r="A187" s="895"/>
      <c r="B187" s="895"/>
      <c r="C187" s="895"/>
      <c r="D187" s="895"/>
      <c r="E187" s="895"/>
      <c r="F187" s="895"/>
      <c r="G187" s="895"/>
      <c r="H187" s="895"/>
      <c r="I187" s="895"/>
      <c r="J187" s="895"/>
      <c r="K187" s="895"/>
      <c r="L187" s="895"/>
      <c r="M187" s="895"/>
      <c r="N187" s="895"/>
    </row>
    <row r="188" spans="1:14" x14ac:dyDescent="0.3">
      <c r="A188" s="895"/>
      <c r="B188" s="895"/>
      <c r="C188" s="895"/>
      <c r="D188" s="895"/>
      <c r="E188" s="895"/>
      <c r="F188" s="895"/>
      <c r="G188" s="895"/>
      <c r="H188" s="895"/>
      <c r="I188" s="895"/>
      <c r="J188" s="895"/>
      <c r="K188" s="895"/>
      <c r="L188" s="895"/>
      <c r="M188" s="895"/>
      <c r="N188" s="895"/>
    </row>
    <row r="189" spans="1:14" x14ac:dyDescent="0.3">
      <c r="A189" s="895"/>
      <c r="B189" s="895"/>
      <c r="C189" s="895"/>
      <c r="D189" s="895"/>
      <c r="E189" s="895"/>
      <c r="F189" s="895"/>
      <c r="G189" s="895"/>
      <c r="H189" s="895"/>
      <c r="I189" s="895"/>
      <c r="J189" s="895"/>
      <c r="K189" s="895"/>
      <c r="L189" s="895"/>
      <c r="M189" s="895"/>
      <c r="N189" s="895"/>
    </row>
    <row r="190" spans="1:14" x14ac:dyDescent="0.3">
      <c r="A190" s="895"/>
      <c r="B190" s="895"/>
      <c r="C190" s="895"/>
      <c r="D190" s="895"/>
      <c r="E190" s="895"/>
      <c r="F190" s="895"/>
      <c r="G190" s="895"/>
      <c r="H190" s="895"/>
      <c r="I190" s="895"/>
      <c r="J190" s="895"/>
      <c r="K190" s="895"/>
      <c r="L190" s="895"/>
      <c r="M190" s="895"/>
      <c r="N190" s="895"/>
    </row>
    <row r="191" spans="1:14" x14ac:dyDescent="0.3">
      <c r="A191" s="895"/>
      <c r="B191" s="895"/>
      <c r="C191" s="895"/>
      <c r="D191" s="895"/>
      <c r="E191" s="895"/>
      <c r="F191" s="895"/>
      <c r="G191" s="895"/>
      <c r="H191" s="895"/>
      <c r="I191" s="895"/>
      <c r="J191" s="895"/>
      <c r="K191" s="895"/>
      <c r="L191" s="895"/>
      <c r="M191" s="895"/>
      <c r="N191" s="895"/>
    </row>
    <row r="192" spans="1:14" x14ac:dyDescent="0.3">
      <c r="A192" s="895"/>
      <c r="B192" s="895"/>
      <c r="C192" s="895"/>
      <c r="D192" s="895"/>
      <c r="E192" s="895"/>
      <c r="F192" s="895"/>
      <c r="G192" s="895"/>
      <c r="H192" s="895"/>
      <c r="I192" s="895"/>
      <c r="J192" s="895"/>
      <c r="K192" s="895"/>
      <c r="L192" s="895"/>
      <c r="M192" s="895"/>
      <c r="N192" s="895"/>
    </row>
    <row r="193" spans="1:14" x14ac:dyDescent="0.3">
      <c r="A193" s="895"/>
      <c r="B193" s="895"/>
      <c r="C193" s="895"/>
      <c r="D193" s="895"/>
      <c r="E193" s="895"/>
      <c r="F193" s="895"/>
      <c r="G193" s="895"/>
      <c r="H193" s="895"/>
      <c r="I193" s="895"/>
      <c r="J193" s="895"/>
      <c r="K193" s="895"/>
      <c r="L193" s="895"/>
      <c r="M193" s="895"/>
      <c r="N193" s="895"/>
    </row>
    <row r="194" spans="1:14" x14ac:dyDescent="0.3">
      <c r="A194" s="895"/>
      <c r="B194" s="895"/>
      <c r="C194" s="895"/>
      <c r="D194" s="895"/>
      <c r="E194" s="895"/>
      <c r="F194" s="895"/>
      <c r="G194" s="895"/>
      <c r="H194" s="895"/>
      <c r="I194" s="895"/>
      <c r="J194" s="895"/>
      <c r="K194" s="895"/>
      <c r="L194" s="895"/>
      <c r="M194" s="895"/>
      <c r="N194" s="895"/>
    </row>
    <row r="195" spans="1:14" x14ac:dyDescent="0.3">
      <c r="A195" s="895"/>
      <c r="B195" s="895"/>
      <c r="C195" s="895"/>
      <c r="D195" s="895"/>
      <c r="E195" s="895"/>
      <c r="F195" s="895"/>
      <c r="G195" s="895"/>
      <c r="H195" s="895"/>
      <c r="I195" s="895"/>
      <c r="J195" s="895"/>
      <c r="K195" s="895"/>
      <c r="L195" s="895"/>
      <c r="M195" s="895"/>
      <c r="N195" s="895"/>
    </row>
    <row r="196" spans="1:14" x14ac:dyDescent="0.3">
      <c r="A196" s="895"/>
      <c r="B196" s="895"/>
      <c r="C196" s="895"/>
      <c r="D196" s="895"/>
      <c r="E196" s="895"/>
      <c r="F196" s="895"/>
      <c r="G196" s="895"/>
      <c r="H196" s="895"/>
      <c r="I196" s="895"/>
      <c r="J196" s="895"/>
      <c r="K196" s="895"/>
      <c r="L196" s="895"/>
      <c r="M196" s="895"/>
      <c r="N196" s="895"/>
    </row>
    <row r="197" spans="1:14" x14ac:dyDescent="0.3">
      <c r="A197" s="895"/>
      <c r="B197" s="895"/>
      <c r="C197" s="895"/>
      <c r="D197" s="895"/>
      <c r="E197" s="895"/>
      <c r="F197" s="895"/>
      <c r="G197" s="895"/>
      <c r="H197" s="895"/>
      <c r="I197" s="895"/>
      <c r="J197" s="895"/>
      <c r="K197" s="895"/>
      <c r="L197" s="895"/>
      <c r="M197" s="895"/>
      <c r="N197" s="895"/>
    </row>
    <row r="198" spans="1:14" x14ac:dyDescent="0.3">
      <c r="A198" s="895"/>
      <c r="B198" s="895"/>
      <c r="C198" s="895"/>
      <c r="D198" s="895"/>
      <c r="E198" s="895"/>
      <c r="F198" s="895"/>
      <c r="G198" s="895"/>
      <c r="H198" s="895"/>
      <c r="I198" s="895"/>
      <c r="J198" s="895"/>
      <c r="K198" s="895"/>
      <c r="L198" s="895"/>
      <c r="M198" s="895"/>
      <c r="N198" s="895"/>
    </row>
    <row r="199" spans="1:14" x14ac:dyDescent="0.3">
      <c r="A199" s="895"/>
      <c r="B199" s="895"/>
      <c r="C199" s="895"/>
      <c r="D199" s="895"/>
      <c r="E199" s="895"/>
      <c r="F199" s="895"/>
      <c r="G199" s="895"/>
      <c r="H199" s="895"/>
      <c r="I199" s="895"/>
      <c r="J199" s="895"/>
      <c r="K199" s="895"/>
      <c r="L199" s="895"/>
      <c r="M199" s="895"/>
      <c r="N199" s="895"/>
    </row>
    <row r="200" spans="1:14" x14ac:dyDescent="0.3">
      <c r="A200" s="895"/>
      <c r="B200" s="895"/>
      <c r="C200" s="895"/>
      <c r="D200" s="895"/>
      <c r="E200" s="895"/>
      <c r="F200" s="895"/>
      <c r="G200" s="895"/>
      <c r="H200" s="895"/>
      <c r="I200" s="895"/>
      <c r="J200" s="895"/>
      <c r="K200" s="895"/>
      <c r="L200" s="895"/>
      <c r="M200" s="895"/>
      <c r="N200" s="895"/>
    </row>
    <row r="201" spans="1:14" x14ac:dyDescent="0.3">
      <c r="A201" s="895"/>
      <c r="B201" s="895"/>
      <c r="C201" s="895"/>
      <c r="D201" s="895"/>
      <c r="E201" s="895"/>
      <c r="F201" s="895"/>
      <c r="G201" s="895"/>
      <c r="H201" s="895"/>
      <c r="I201" s="895"/>
      <c r="J201" s="895"/>
      <c r="K201" s="895"/>
      <c r="L201" s="895"/>
      <c r="M201" s="895"/>
      <c r="N201" s="895"/>
    </row>
    <row r="202" spans="1:14" x14ac:dyDescent="0.3">
      <c r="A202" s="895"/>
      <c r="B202" s="895"/>
      <c r="C202" s="895"/>
      <c r="D202" s="895"/>
      <c r="E202" s="895"/>
      <c r="F202" s="895"/>
      <c r="G202" s="895"/>
      <c r="H202" s="895"/>
      <c r="I202" s="895"/>
      <c r="J202" s="895"/>
      <c r="K202" s="895"/>
      <c r="L202" s="895"/>
      <c r="M202" s="895"/>
      <c r="N202" s="895"/>
    </row>
    <row r="203" spans="1:14" x14ac:dyDescent="0.3">
      <c r="A203" s="895"/>
      <c r="B203" s="895"/>
      <c r="C203" s="895"/>
      <c r="D203" s="895"/>
      <c r="E203" s="895"/>
      <c r="F203" s="895"/>
      <c r="G203" s="895"/>
      <c r="H203" s="895"/>
      <c r="I203" s="895"/>
      <c r="J203" s="895"/>
      <c r="K203" s="895"/>
      <c r="L203" s="895"/>
      <c r="M203" s="895"/>
      <c r="N203" s="895"/>
    </row>
    <row r="204" spans="1:14" x14ac:dyDescent="0.3">
      <c r="A204" s="895"/>
      <c r="B204" s="895"/>
      <c r="C204" s="895"/>
      <c r="D204" s="895"/>
      <c r="E204" s="895"/>
      <c r="F204" s="895"/>
      <c r="G204" s="895"/>
      <c r="H204" s="895"/>
      <c r="I204" s="895"/>
      <c r="J204" s="895"/>
      <c r="K204" s="895"/>
      <c r="L204" s="895"/>
      <c r="M204" s="895"/>
      <c r="N204" s="895"/>
    </row>
    <row r="205" spans="1:14" x14ac:dyDescent="0.3">
      <c r="A205" s="895"/>
      <c r="B205" s="895"/>
      <c r="C205" s="895"/>
      <c r="D205" s="895"/>
      <c r="E205" s="895"/>
      <c r="F205" s="895"/>
      <c r="G205" s="895"/>
      <c r="H205" s="895"/>
      <c r="I205" s="895"/>
      <c r="J205" s="895"/>
      <c r="K205" s="895"/>
      <c r="L205" s="895"/>
      <c r="M205" s="895"/>
      <c r="N205" s="895"/>
    </row>
    <row r="206" spans="1:14" x14ac:dyDescent="0.3">
      <c r="A206" s="895"/>
      <c r="B206" s="895"/>
      <c r="C206" s="895"/>
      <c r="D206" s="895"/>
      <c r="E206" s="895"/>
      <c r="F206" s="895"/>
      <c r="G206" s="895"/>
      <c r="H206" s="895"/>
      <c r="I206" s="895"/>
      <c r="J206" s="895"/>
      <c r="K206" s="895"/>
      <c r="L206" s="895"/>
      <c r="M206" s="895"/>
      <c r="N206" s="895"/>
    </row>
    <row r="207" spans="1:14" x14ac:dyDescent="0.3">
      <c r="A207" s="895"/>
      <c r="B207" s="895"/>
      <c r="C207" s="895"/>
      <c r="D207" s="895"/>
      <c r="E207" s="895"/>
      <c r="F207" s="895"/>
      <c r="G207" s="895"/>
      <c r="H207" s="895"/>
      <c r="I207" s="895"/>
      <c r="J207" s="895"/>
      <c r="K207" s="895"/>
      <c r="L207" s="895"/>
      <c r="M207" s="895"/>
      <c r="N207" s="895"/>
    </row>
    <row r="208" spans="1:14" x14ac:dyDescent="0.3">
      <c r="A208" s="895"/>
      <c r="B208" s="895"/>
      <c r="C208" s="895"/>
      <c r="D208" s="895"/>
      <c r="E208" s="895"/>
      <c r="F208" s="895"/>
      <c r="G208" s="895"/>
      <c r="H208" s="895"/>
      <c r="I208" s="895"/>
      <c r="J208" s="896"/>
      <c r="K208" s="896"/>
      <c r="L208" s="896"/>
      <c r="M208" s="896"/>
      <c r="N208" s="896"/>
    </row>
    <row r="209" spans="1:9" x14ac:dyDescent="0.3">
      <c r="A209" s="895"/>
      <c r="B209" s="895"/>
      <c r="C209" s="895"/>
      <c r="D209" s="895"/>
      <c r="E209" s="895"/>
      <c r="F209" s="895"/>
      <c r="G209" s="895"/>
      <c r="H209" s="895"/>
      <c r="I209" s="895"/>
    </row>
    <row r="210" spans="1:9" x14ac:dyDescent="0.3">
      <c r="A210" s="895"/>
      <c r="B210" s="895"/>
      <c r="C210" s="895"/>
      <c r="D210" s="895"/>
      <c r="E210" s="895"/>
      <c r="F210" s="895"/>
      <c r="G210" s="895"/>
      <c r="H210" s="895"/>
      <c r="I210" s="895"/>
    </row>
    <row r="211" spans="1:9" x14ac:dyDescent="0.3">
      <c r="A211" s="895"/>
      <c r="B211" s="895"/>
      <c r="C211" s="895"/>
      <c r="D211" s="895"/>
      <c r="E211" s="895"/>
      <c r="F211" s="895"/>
      <c r="G211" s="895"/>
      <c r="H211" s="895"/>
      <c r="I211" s="895"/>
    </row>
    <row r="212" spans="1:9" x14ac:dyDescent="0.3">
      <c r="A212" s="895"/>
      <c r="B212" s="895"/>
      <c r="C212" s="895"/>
      <c r="D212" s="895"/>
      <c r="E212" s="895"/>
      <c r="F212" s="895"/>
      <c r="G212" s="895"/>
      <c r="H212" s="895"/>
      <c r="I212" s="895"/>
    </row>
    <row r="213" spans="1:9" x14ac:dyDescent="0.3">
      <c r="A213" s="895"/>
      <c r="B213" s="895"/>
      <c r="C213" s="895"/>
      <c r="D213" s="895"/>
      <c r="E213" s="895"/>
      <c r="F213" s="895"/>
      <c r="G213" s="895"/>
      <c r="H213" s="895"/>
      <c r="I213" s="895"/>
    </row>
    <row r="214" spans="1:9" x14ac:dyDescent="0.3">
      <c r="A214" s="895"/>
      <c r="B214" s="895"/>
      <c r="C214" s="895"/>
      <c r="D214" s="895"/>
      <c r="E214" s="895"/>
      <c r="F214" s="895"/>
      <c r="G214" s="895"/>
      <c r="H214" s="895"/>
      <c r="I214" s="895"/>
    </row>
    <row r="215" spans="1:9" x14ac:dyDescent="0.3">
      <c r="A215" s="895"/>
      <c r="B215" s="895"/>
      <c r="C215" s="895"/>
      <c r="D215" s="895"/>
      <c r="E215" s="895"/>
      <c r="F215" s="895"/>
      <c r="G215" s="895"/>
      <c r="H215" s="895"/>
      <c r="I215" s="895"/>
    </row>
    <row r="216" spans="1:9" x14ac:dyDescent="0.3">
      <c r="A216" s="895"/>
      <c r="B216" s="895"/>
      <c r="C216" s="895"/>
      <c r="D216" s="895"/>
      <c r="E216" s="895"/>
      <c r="F216" s="895"/>
      <c r="G216" s="895"/>
      <c r="H216" s="895"/>
      <c r="I216" s="895"/>
    </row>
    <row r="217" spans="1:9" x14ac:dyDescent="0.3">
      <c r="A217" s="895"/>
      <c r="B217" s="895"/>
      <c r="C217" s="895"/>
      <c r="D217" s="895"/>
      <c r="E217" s="895"/>
      <c r="F217" s="895"/>
      <c r="G217" s="895"/>
      <c r="H217" s="895"/>
      <c r="I217" s="895"/>
    </row>
    <row r="218" spans="1:9" x14ac:dyDescent="0.3">
      <c r="A218" s="895"/>
      <c r="B218" s="895"/>
      <c r="C218" s="895"/>
      <c r="D218" s="895"/>
      <c r="E218" s="895"/>
      <c r="F218" s="895"/>
      <c r="G218" s="895"/>
      <c r="H218" s="895"/>
      <c r="I218" s="895"/>
    </row>
    <row r="219" spans="1:9" x14ac:dyDescent="0.3">
      <c r="A219" s="895"/>
      <c r="B219" s="895"/>
      <c r="C219" s="895"/>
      <c r="D219" s="895"/>
      <c r="E219" s="895"/>
      <c r="F219" s="895"/>
      <c r="G219" s="895"/>
      <c r="H219" s="895"/>
      <c r="I219" s="895"/>
    </row>
    <row r="220" spans="1:9" x14ac:dyDescent="0.3">
      <c r="A220" s="895"/>
      <c r="B220" s="895"/>
      <c r="C220" s="895"/>
      <c r="D220" s="895"/>
      <c r="E220" s="895"/>
      <c r="F220" s="895"/>
      <c r="G220" s="895"/>
      <c r="H220" s="895"/>
      <c r="I220" s="895"/>
    </row>
    <row r="221" spans="1:9" x14ac:dyDescent="0.3">
      <c r="A221" s="895"/>
      <c r="B221" s="895"/>
      <c r="C221" s="895"/>
      <c r="D221" s="895"/>
      <c r="E221" s="895"/>
      <c r="F221" s="895"/>
      <c r="G221" s="895"/>
      <c r="H221" s="895"/>
      <c r="I221" s="895"/>
    </row>
    <row r="222" spans="1:9" x14ac:dyDescent="0.3">
      <c r="A222" s="895"/>
      <c r="B222" s="895"/>
      <c r="C222" s="895"/>
      <c r="D222" s="895"/>
      <c r="E222" s="895"/>
      <c r="F222" s="895"/>
      <c r="G222" s="895"/>
      <c r="H222" s="895"/>
      <c r="I222" s="895"/>
    </row>
    <row r="223" spans="1:9" x14ac:dyDescent="0.3">
      <c r="A223" s="895"/>
      <c r="B223" s="895"/>
      <c r="C223" s="895"/>
      <c r="D223" s="895"/>
      <c r="E223" s="895"/>
      <c r="F223" s="895"/>
      <c r="G223" s="895"/>
      <c r="H223" s="895"/>
      <c r="I223" s="895"/>
    </row>
    <row r="224" spans="1:9" x14ac:dyDescent="0.3">
      <c r="A224" s="895"/>
      <c r="B224" s="895"/>
      <c r="C224" s="895"/>
      <c r="D224" s="895"/>
      <c r="E224" s="895"/>
      <c r="F224" s="895"/>
      <c r="G224" s="895"/>
      <c r="H224" s="895"/>
      <c r="I224" s="895"/>
    </row>
    <row r="225" spans="1:9" x14ac:dyDescent="0.3">
      <c r="A225" s="895"/>
      <c r="B225" s="895"/>
      <c r="C225" s="895"/>
      <c r="D225" s="895"/>
      <c r="E225" s="895"/>
      <c r="F225" s="895"/>
      <c r="G225" s="895"/>
      <c r="H225" s="895"/>
      <c r="I225" s="895"/>
    </row>
    <row r="226" spans="1:9" x14ac:dyDescent="0.3">
      <c r="A226" s="895"/>
      <c r="B226" s="895"/>
      <c r="C226" s="895"/>
      <c r="D226" s="895"/>
      <c r="E226" s="895"/>
      <c r="F226" s="895"/>
      <c r="G226" s="895"/>
      <c r="H226" s="895"/>
      <c r="I226" s="895"/>
    </row>
    <row r="227" spans="1:9" x14ac:dyDescent="0.3">
      <c r="A227" s="895"/>
      <c r="B227" s="895"/>
      <c r="C227" s="895"/>
      <c r="D227" s="895"/>
      <c r="E227" s="895"/>
      <c r="F227" s="895"/>
      <c r="G227" s="895"/>
      <c r="H227" s="895"/>
      <c r="I227" s="895"/>
    </row>
    <row r="228" spans="1:9" x14ac:dyDescent="0.3">
      <c r="A228" s="895"/>
      <c r="B228" s="895"/>
      <c r="C228" s="895"/>
      <c r="D228" s="895"/>
      <c r="E228" s="895"/>
      <c r="F228" s="895"/>
      <c r="G228" s="895"/>
      <c r="H228" s="895"/>
      <c r="I228" s="895"/>
    </row>
    <row r="229" spans="1:9" x14ac:dyDescent="0.3">
      <c r="A229" s="895"/>
      <c r="B229" s="895"/>
      <c r="C229" s="895"/>
      <c r="D229" s="895"/>
      <c r="E229" s="895"/>
      <c r="F229" s="895"/>
      <c r="G229" s="895"/>
      <c r="H229" s="895"/>
      <c r="I229" s="895"/>
    </row>
    <row r="230" spans="1:9" x14ac:dyDescent="0.3">
      <c r="A230" s="895"/>
      <c r="B230" s="895"/>
      <c r="C230" s="895"/>
      <c r="D230" s="895"/>
      <c r="E230" s="895"/>
      <c r="F230" s="895"/>
      <c r="G230" s="895"/>
      <c r="H230" s="895"/>
      <c r="I230" s="895"/>
    </row>
    <row r="231" spans="1:9" x14ac:dyDescent="0.3">
      <c r="A231" s="895"/>
      <c r="B231" s="895"/>
      <c r="C231" s="895"/>
      <c r="D231" s="895"/>
      <c r="E231" s="895"/>
      <c r="F231" s="895"/>
      <c r="G231" s="895"/>
      <c r="H231" s="895"/>
      <c r="I231" s="895"/>
    </row>
    <row r="232" spans="1:9" x14ac:dyDescent="0.3">
      <c r="A232" s="895"/>
      <c r="B232" s="895"/>
      <c r="C232" s="895"/>
      <c r="D232" s="895"/>
      <c r="E232" s="895"/>
      <c r="F232" s="895"/>
      <c r="G232" s="895"/>
      <c r="H232" s="895"/>
      <c r="I232" s="895"/>
    </row>
    <row r="233" spans="1:9" x14ac:dyDescent="0.3">
      <c r="A233" s="895"/>
      <c r="B233" s="895"/>
      <c r="C233" s="895"/>
      <c r="D233" s="895"/>
      <c r="E233" s="895"/>
      <c r="F233" s="895"/>
      <c r="G233" s="895"/>
      <c r="H233" s="895"/>
      <c r="I233" s="895"/>
    </row>
    <row r="234" spans="1:9" x14ac:dyDescent="0.3">
      <c r="A234" s="895"/>
      <c r="B234" s="895"/>
      <c r="C234" s="895"/>
      <c r="D234" s="895"/>
      <c r="E234" s="895"/>
      <c r="F234" s="895"/>
      <c r="G234" s="895"/>
      <c r="H234" s="895"/>
      <c r="I234" s="895"/>
    </row>
    <row r="235" spans="1:9" x14ac:dyDescent="0.3">
      <c r="A235" s="895"/>
      <c r="B235" s="895"/>
      <c r="C235" s="895"/>
      <c r="D235" s="895"/>
      <c r="E235" s="895"/>
      <c r="F235" s="895"/>
      <c r="G235" s="895"/>
      <c r="H235" s="895"/>
      <c r="I235" s="895"/>
    </row>
    <row r="236" spans="1:9" x14ac:dyDescent="0.3">
      <c r="A236" s="895"/>
      <c r="B236" s="895"/>
      <c r="C236" s="895"/>
      <c r="D236" s="895"/>
      <c r="E236" s="895"/>
      <c r="F236" s="895"/>
      <c r="G236" s="895"/>
      <c r="H236" s="895"/>
      <c r="I236" s="895"/>
    </row>
    <row r="237" spans="1:9" x14ac:dyDescent="0.3">
      <c r="A237" s="895"/>
      <c r="B237" s="895"/>
      <c r="C237" s="895"/>
      <c r="D237" s="895"/>
      <c r="E237" s="895"/>
      <c r="F237" s="895"/>
      <c r="G237" s="895"/>
      <c r="H237" s="895"/>
      <c r="I237" s="895"/>
    </row>
    <row r="238" spans="1:9" x14ac:dyDescent="0.3">
      <c r="A238" s="895"/>
      <c r="B238" s="895"/>
      <c r="C238" s="895"/>
      <c r="D238" s="895"/>
      <c r="E238" s="895"/>
      <c r="F238" s="895"/>
      <c r="G238" s="895"/>
      <c r="H238" s="895"/>
      <c r="I238" s="895"/>
    </row>
    <row r="239" spans="1:9" x14ac:dyDescent="0.3">
      <c r="A239" s="895"/>
      <c r="B239" s="895"/>
      <c r="C239" s="895"/>
      <c r="D239" s="895"/>
      <c r="E239" s="895"/>
      <c r="F239" s="895"/>
      <c r="G239" s="895"/>
      <c r="H239" s="895"/>
      <c r="I239" s="895"/>
    </row>
    <row r="240" spans="1:9" x14ac:dyDescent="0.3">
      <c r="A240" s="895"/>
      <c r="B240" s="895"/>
      <c r="C240" s="895"/>
      <c r="D240" s="895"/>
      <c r="E240" s="895"/>
      <c r="F240" s="895"/>
      <c r="G240" s="895"/>
      <c r="H240" s="895"/>
      <c r="I240" s="895"/>
    </row>
    <row r="241" spans="1:9" x14ac:dyDescent="0.3">
      <c r="A241" s="895"/>
      <c r="B241" s="895"/>
      <c r="C241" s="895"/>
      <c r="D241" s="895"/>
      <c r="E241" s="895"/>
      <c r="F241" s="895"/>
      <c r="G241" s="895"/>
      <c r="H241" s="895"/>
      <c r="I241" s="895"/>
    </row>
    <row r="242" spans="1:9" x14ac:dyDescent="0.3">
      <c r="A242" s="895"/>
      <c r="B242" s="895"/>
      <c r="C242" s="895"/>
      <c r="D242" s="895"/>
      <c r="E242" s="895"/>
      <c r="F242" s="895"/>
      <c r="G242" s="895"/>
      <c r="H242" s="895"/>
      <c r="I242" s="895"/>
    </row>
    <row r="243" spans="1:9" x14ac:dyDescent="0.3">
      <c r="A243" s="895"/>
      <c r="B243" s="895"/>
      <c r="C243" s="895"/>
      <c r="D243" s="895"/>
      <c r="E243" s="895"/>
      <c r="F243" s="895"/>
      <c r="G243" s="895"/>
      <c r="H243" s="895"/>
      <c r="I243" s="895"/>
    </row>
    <row r="244" spans="1:9" x14ac:dyDescent="0.3">
      <c r="A244" s="895"/>
      <c r="B244" s="895"/>
      <c r="C244" s="895"/>
      <c r="D244" s="895"/>
      <c r="E244" s="895"/>
      <c r="F244" s="895"/>
      <c r="G244" s="895"/>
      <c r="H244" s="895"/>
      <c r="I244" s="895"/>
    </row>
    <row r="245" spans="1:9" x14ac:dyDescent="0.3">
      <c r="A245" s="895"/>
      <c r="B245" s="895"/>
      <c r="C245" s="895"/>
      <c r="D245" s="895"/>
      <c r="E245" s="895"/>
      <c r="F245" s="895"/>
      <c r="G245" s="895"/>
      <c r="H245" s="895"/>
      <c r="I245" s="895"/>
    </row>
    <row r="246" spans="1:9" x14ac:dyDescent="0.3">
      <c r="A246" s="895"/>
      <c r="B246" s="895"/>
      <c r="C246" s="895"/>
      <c r="D246" s="895"/>
      <c r="E246" s="895"/>
      <c r="F246" s="895"/>
      <c r="G246" s="895"/>
      <c r="H246" s="895"/>
      <c r="I246" s="895"/>
    </row>
    <row r="247" spans="1:9" x14ac:dyDescent="0.3">
      <c r="A247" s="895"/>
      <c r="B247" s="895"/>
      <c r="C247" s="895"/>
      <c r="D247" s="895"/>
      <c r="E247" s="895"/>
      <c r="F247" s="895"/>
      <c r="G247" s="895"/>
      <c r="H247" s="895"/>
      <c r="I247" s="895"/>
    </row>
    <row r="248" spans="1:9" x14ac:dyDescent="0.3">
      <c r="A248" s="895"/>
      <c r="B248" s="895"/>
      <c r="C248" s="895"/>
      <c r="D248" s="895"/>
      <c r="E248" s="895"/>
      <c r="F248" s="895"/>
      <c r="G248" s="895"/>
      <c r="H248" s="895"/>
      <c r="I248" s="895"/>
    </row>
    <row r="249" spans="1:9" x14ac:dyDescent="0.3">
      <c r="A249" s="895"/>
      <c r="B249" s="895"/>
      <c r="C249" s="895"/>
      <c r="D249" s="895"/>
      <c r="E249" s="895"/>
      <c r="F249" s="895"/>
      <c r="G249" s="895"/>
      <c r="H249" s="895"/>
      <c r="I249" s="895"/>
    </row>
    <row r="250" spans="1:9" x14ac:dyDescent="0.3">
      <c r="A250" s="895"/>
      <c r="B250" s="895"/>
      <c r="C250" s="895"/>
      <c r="D250" s="895"/>
      <c r="E250" s="895"/>
      <c r="F250" s="895"/>
      <c r="G250" s="895"/>
      <c r="H250" s="895"/>
      <c r="I250" s="895"/>
    </row>
    <row r="251" spans="1:9" x14ac:dyDescent="0.3">
      <c r="A251" s="895"/>
      <c r="B251" s="895"/>
      <c r="C251" s="895"/>
      <c r="D251" s="895"/>
      <c r="E251" s="895"/>
      <c r="F251" s="895"/>
      <c r="G251" s="895"/>
      <c r="H251" s="895"/>
      <c r="I251" s="895"/>
    </row>
    <row r="252" spans="1:9" x14ac:dyDescent="0.3">
      <c r="A252" s="895"/>
      <c r="B252" s="895"/>
      <c r="C252" s="895"/>
      <c r="D252" s="895"/>
      <c r="E252" s="895"/>
      <c r="F252" s="895"/>
      <c r="G252" s="895"/>
      <c r="H252" s="895"/>
      <c r="I252" s="895"/>
    </row>
    <row r="253" spans="1:9" x14ac:dyDescent="0.3">
      <c r="A253" s="895"/>
      <c r="B253" s="895"/>
      <c r="C253" s="895"/>
      <c r="D253" s="895"/>
      <c r="E253" s="895"/>
      <c r="F253" s="895"/>
      <c r="G253" s="895"/>
      <c r="H253" s="895"/>
      <c r="I253" s="895"/>
    </row>
    <row r="254" spans="1:9" x14ac:dyDescent="0.3">
      <c r="A254" s="895"/>
      <c r="B254" s="895"/>
      <c r="C254" s="895"/>
      <c r="D254" s="895"/>
      <c r="E254" s="895"/>
      <c r="F254" s="895"/>
      <c r="G254" s="895"/>
      <c r="H254" s="895"/>
      <c r="I254" s="895"/>
    </row>
    <row r="255" spans="1:9" x14ac:dyDescent="0.3">
      <c r="A255" s="895"/>
      <c r="B255" s="895"/>
      <c r="C255" s="895"/>
      <c r="D255" s="895"/>
      <c r="E255" s="895"/>
      <c r="F255" s="895"/>
      <c r="G255" s="895"/>
      <c r="H255" s="895"/>
      <c r="I255" s="895"/>
    </row>
    <row r="256" spans="1:9" x14ac:dyDescent="0.3">
      <c r="A256" s="895"/>
      <c r="B256" s="895"/>
      <c r="C256" s="895"/>
      <c r="D256" s="895"/>
      <c r="E256" s="895"/>
      <c r="F256" s="895"/>
      <c r="G256" s="895"/>
      <c r="H256" s="895"/>
      <c r="I256" s="895"/>
    </row>
    <row r="257" spans="1:9" x14ac:dyDescent="0.3">
      <c r="A257" s="895"/>
      <c r="B257" s="895"/>
      <c r="C257" s="895"/>
      <c r="D257" s="895"/>
      <c r="E257" s="895"/>
      <c r="F257" s="895"/>
      <c r="G257" s="895"/>
      <c r="H257" s="895"/>
      <c r="I257" s="895"/>
    </row>
    <row r="258" spans="1:9" x14ac:dyDescent="0.3">
      <c r="A258" s="895"/>
      <c r="B258" s="895"/>
      <c r="C258" s="895"/>
      <c r="D258" s="895"/>
      <c r="E258" s="895"/>
      <c r="F258" s="895"/>
      <c r="G258" s="895"/>
      <c r="H258" s="895"/>
      <c r="I258" s="895"/>
    </row>
    <row r="259" spans="1:9" x14ac:dyDescent="0.3">
      <c r="A259" s="895"/>
      <c r="B259" s="895"/>
      <c r="C259" s="895"/>
      <c r="D259" s="895"/>
      <c r="E259" s="895"/>
      <c r="F259" s="895"/>
      <c r="G259" s="895"/>
      <c r="H259" s="895"/>
      <c r="I259" s="895"/>
    </row>
    <row r="260" spans="1:9" x14ac:dyDescent="0.3">
      <c r="A260" s="895"/>
      <c r="B260" s="895"/>
      <c r="C260" s="895"/>
      <c r="D260" s="895"/>
      <c r="E260" s="895"/>
      <c r="F260" s="895"/>
      <c r="G260" s="895"/>
      <c r="H260" s="895"/>
      <c r="I260" s="895"/>
    </row>
    <row r="261" spans="1:9" x14ac:dyDescent="0.3">
      <c r="A261" s="895"/>
      <c r="B261" s="895"/>
      <c r="C261" s="895"/>
      <c r="D261" s="895"/>
      <c r="E261" s="895"/>
      <c r="F261" s="895"/>
      <c r="G261" s="895"/>
      <c r="H261" s="895"/>
      <c r="I261" s="895"/>
    </row>
    <row r="262" spans="1:9" x14ac:dyDescent="0.3">
      <c r="A262" s="895"/>
      <c r="B262" s="895"/>
      <c r="C262" s="895"/>
      <c r="D262" s="895"/>
      <c r="E262" s="895"/>
      <c r="F262" s="895"/>
      <c r="G262" s="895"/>
      <c r="H262" s="895"/>
      <c r="I262" s="895"/>
    </row>
    <row r="263" spans="1:9" x14ac:dyDescent="0.3">
      <c r="A263" s="895"/>
      <c r="B263" s="895"/>
      <c r="C263" s="895"/>
      <c r="D263" s="895"/>
      <c r="E263" s="895"/>
      <c r="F263" s="895"/>
      <c r="G263" s="895"/>
      <c r="H263" s="895"/>
      <c r="I263" s="895"/>
    </row>
    <row r="264" spans="1:9" x14ac:dyDescent="0.3">
      <c r="A264" s="895"/>
      <c r="B264" s="895"/>
      <c r="C264" s="895"/>
      <c r="D264" s="895"/>
      <c r="E264" s="895"/>
      <c r="F264" s="895"/>
      <c r="G264" s="895"/>
      <c r="H264" s="895"/>
      <c r="I264" s="895"/>
    </row>
    <row r="265" spans="1:9" x14ac:dyDescent="0.3">
      <c r="A265" s="895"/>
      <c r="B265" s="895"/>
      <c r="C265" s="895"/>
      <c r="D265" s="895"/>
      <c r="E265" s="895"/>
      <c r="F265" s="895"/>
      <c r="G265" s="895"/>
      <c r="H265" s="895"/>
      <c r="I265" s="895"/>
    </row>
    <row r="266" spans="1:9" x14ac:dyDescent="0.3">
      <c r="A266" s="895"/>
      <c r="B266" s="895"/>
      <c r="C266" s="895"/>
      <c r="D266" s="895"/>
      <c r="E266" s="895"/>
      <c r="F266" s="895"/>
      <c r="G266" s="895"/>
      <c r="H266" s="895"/>
      <c r="I266" s="895"/>
    </row>
    <row r="267" spans="1:9" x14ac:dyDescent="0.3">
      <c r="A267" s="895"/>
      <c r="B267" s="895"/>
      <c r="C267" s="895"/>
      <c r="D267" s="895"/>
      <c r="E267" s="895"/>
      <c r="F267" s="895"/>
      <c r="G267" s="895"/>
      <c r="H267" s="895"/>
      <c r="I267" s="895"/>
    </row>
    <row r="268" spans="1:9" x14ac:dyDescent="0.3">
      <c r="A268" s="895"/>
      <c r="B268" s="895"/>
      <c r="C268" s="895"/>
      <c r="D268" s="895"/>
      <c r="E268" s="895"/>
      <c r="F268" s="895"/>
      <c r="G268" s="895"/>
      <c r="H268" s="895"/>
      <c r="I268" s="895"/>
    </row>
    <row r="269" spans="1:9" x14ac:dyDescent="0.3">
      <c r="A269" s="895"/>
      <c r="B269" s="895"/>
      <c r="C269" s="895"/>
      <c r="D269" s="895"/>
      <c r="E269" s="895"/>
      <c r="F269" s="895"/>
      <c r="G269" s="895"/>
      <c r="H269" s="895"/>
      <c r="I269" s="895"/>
    </row>
    <row r="270" spans="1:9" x14ac:dyDescent="0.3">
      <c r="A270" s="895"/>
      <c r="B270" s="895"/>
      <c r="C270" s="895"/>
      <c r="D270" s="895"/>
      <c r="E270" s="895"/>
      <c r="F270" s="895"/>
      <c r="G270" s="895"/>
      <c r="H270" s="895"/>
      <c r="I270" s="895"/>
    </row>
    <row r="271" spans="1:9" x14ac:dyDescent="0.3">
      <c r="A271" s="895"/>
      <c r="B271" s="895"/>
      <c r="C271" s="895"/>
      <c r="D271" s="895"/>
      <c r="E271" s="895"/>
      <c r="F271" s="895"/>
      <c r="G271" s="895"/>
      <c r="H271" s="895"/>
      <c r="I271" s="895"/>
    </row>
    <row r="272" spans="1:9" x14ac:dyDescent="0.3">
      <c r="A272" s="895"/>
      <c r="B272" s="895"/>
      <c r="C272" s="895"/>
      <c r="D272" s="895"/>
      <c r="E272" s="895"/>
      <c r="F272" s="895"/>
      <c r="G272" s="895"/>
      <c r="H272" s="895"/>
      <c r="I272" s="895"/>
    </row>
    <row r="273" spans="1:9" x14ac:dyDescent="0.3">
      <c r="A273" s="895"/>
      <c r="B273" s="895"/>
      <c r="C273" s="895"/>
      <c r="D273" s="895"/>
      <c r="E273" s="895"/>
      <c r="F273" s="895"/>
      <c r="G273" s="895"/>
      <c r="H273" s="895"/>
      <c r="I273" s="895"/>
    </row>
    <row r="274" spans="1:9" x14ac:dyDescent="0.3">
      <c r="A274" s="895"/>
      <c r="B274" s="895"/>
      <c r="C274" s="895"/>
      <c r="D274" s="895"/>
      <c r="E274" s="895"/>
      <c r="F274" s="895"/>
      <c r="G274" s="895"/>
      <c r="H274" s="895"/>
      <c r="I274" s="895"/>
    </row>
    <row r="275" spans="1:9" x14ac:dyDescent="0.3">
      <c r="A275" s="895"/>
      <c r="B275" s="895"/>
      <c r="C275" s="895"/>
      <c r="D275" s="895"/>
      <c r="E275" s="895"/>
      <c r="F275" s="895"/>
      <c r="G275" s="895"/>
      <c r="H275" s="895"/>
      <c r="I275" s="895"/>
    </row>
    <row r="276" spans="1:9" x14ac:dyDescent="0.3">
      <c r="A276" s="895"/>
      <c r="B276" s="895"/>
      <c r="C276" s="895"/>
      <c r="D276" s="895"/>
      <c r="E276" s="895"/>
      <c r="F276" s="895"/>
      <c r="G276" s="895"/>
      <c r="H276" s="895"/>
      <c r="I276" s="895"/>
    </row>
    <row r="277" spans="1:9" x14ac:dyDescent="0.3">
      <c r="A277" s="895"/>
      <c r="B277" s="895"/>
      <c r="C277" s="895"/>
      <c r="D277" s="895"/>
      <c r="E277" s="895"/>
      <c r="F277" s="895"/>
      <c r="G277" s="895"/>
      <c r="H277" s="895"/>
      <c r="I277" s="895"/>
    </row>
    <row r="278" spans="1:9" x14ac:dyDescent="0.3">
      <c r="A278" s="895"/>
      <c r="B278" s="895"/>
      <c r="C278" s="895"/>
      <c r="D278" s="895"/>
      <c r="E278" s="895"/>
      <c r="F278" s="895"/>
      <c r="G278" s="895"/>
      <c r="H278" s="895"/>
      <c r="I278" s="895"/>
    </row>
    <row r="279" spans="1:9" x14ac:dyDescent="0.3">
      <c r="A279" s="895"/>
      <c r="B279" s="895"/>
      <c r="C279" s="895"/>
      <c r="D279" s="895"/>
      <c r="E279" s="895"/>
      <c r="F279" s="895"/>
      <c r="G279" s="895"/>
      <c r="H279" s="895"/>
      <c r="I279" s="895"/>
    </row>
  </sheetData>
  <hyperlinks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F2" sqref="F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46"/>
      <c r="B1" s="944"/>
      <c r="C1" s="944"/>
      <c r="D1" s="944"/>
      <c r="E1" s="944"/>
      <c r="F1" s="944"/>
      <c r="G1" s="944"/>
      <c r="H1" s="944"/>
      <c r="I1" s="944"/>
      <c r="J1" s="945"/>
      <c r="K1" s="944"/>
      <c r="L1" s="944"/>
      <c r="M1" s="944"/>
      <c r="N1" s="944"/>
      <c r="O1" s="943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N12+I19</f>
        <v>1.6908095579918243</v>
      </c>
      <c r="O2" s="276"/>
    </row>
    <row r="3" spans="1:15" x14ac:dyDescent="0.3">
      <c r="A3" s="938" t="s">
        <v>3</v>
      </c>
      <c r="B3" s="16" t="s">
        <v>129</v>
      </c>
      <c r="C3" s="936"/>
      <c r="D3" s="914" t="s">
        <v>6</v>
      </c>
      <c r="E3" s="88" t="s">
        <v>86</v>
      </c>
      <c r="F3" s="936"/>
      <c r="G3" s="936"/>
      <c r="H3" s="936"/>
      <c r="I3" s="936"/>
      <c r="J3" s="936"/>
      <c r="K3" s="936"/>
      <c r="L3" s="936"/>
      <c r="M3" s="913" t="s">
        <v>4</v>
      </c>
      <c r="N3" s="940">
        <v>2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495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N3*N2</f>
        <v>3.3816191159836486</v>
      </c>
      <c r="O5" s="276"/>
    </row>
    <row r="6" spans="1:15" x14ac:dyDescent="0.3">
      <c r="A6" s="938" t="s">
        <v>7</v>
      </c>
      <c r="B6" t="s">
        <v>498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6.2" customHeight="1" x14ac:dyDescent="0.3">
      <c r="A11" s="929">
        <v>10</v>
      </c>
      <c r="B11" s="319" t="s">
        <v>278</v>
      </c>
      <c r="C11" s="573" t="s">
        <v>490</v>
      </c>
      <c r="D11" s="305">
        <v>2.25</v>
      </c>
      <c r="E11" s="935">
        <f>J11*K11*L11</f>
        <v>6.9915359107477468E-2</v>
      </c>
      <c r="F11" s="935" t="s">
        <v>212</v>
      </c>
      <c r="G11" s="322"/>
      <c r="H11" s="323"/>
      <c r="I11" s="934" t="s">
        <v>489</v>
      </c>
      <c r="J11" s="984">
        <f>PI()*(9*10^-3)^2</f>
        <v>2.5446900494077327E-4</v>
      </c>
      <c r="K11" s="890">
        <v>3.5000000000000003E-2</v>
      </c>
      <c r="L11" s="891">
        <v>7850</v>
      </c>
      <c r="M11" s="933">
        <v>1</v>
      </c>
      <c r="N11" s="286">
        <f>D11*E11*M11</f>
        <v>0.15730955799182431</v>
      </c>
      <c r="O11" s="932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0.15730955799182431</v>
      </c>
      <c r="O12" s="276"/>
    </row>
    <row r="13" spans="1:15" x14ac:dyDescent="0.3">
      <c r="A13" s="931" t="s">
        <v>14</v>
      </c>
      <c r="B13" s="903" t="s">
        <v>31</v>
      </c>
      <c r="C13" s="903" t="s">
        <v>20</v>
      </c>
      <c r="D13" s="903" t="s">
        <v>21</v>
      </c>
      <c r="E13" s="903" t="s">
        <v>32</v>
      </c>
      <c r="F13" s="903" t="s">
        <v>17</v>
      </c>
      <c r="G13" s="903" t="s">
        <v>33</v>
      </c>
      <c r="H13" s="903" t="s">
        <v>34</v>
      </c>
      <c r="I13" s="903" t="s">
        <v>18</v>
      </c>
      <c r="J13" s="921"/>
      <c r="K13" s="921"/>
      <c r="L13" s="921"/>
      <c r="M13" s="921"/>
      <c r="N13" s="921"/>
      <c r="O13" s="276"/>
    </row>
    <row r="14" spans="1:15" ht="15" customHeight="1" x14ac:dyDescent="0.3">
      <c r="A14" s="926">
        <v>10</v>
      </c>
      <c r="B14" s="288" t="s">
        <v>39</v>
      </c>
      <c r="C14" s="927" t="s">
        <v>488</v>
      </c>
      <c r="D14" s="285">
        <v>1.3</v>
      </c>
      <c r="E14" s="288" t="s">
        <v>32</v>
      </c>
      <c r="F14" s="884">
        <v>1</v>
      </c>
      <c r="G14" s="930" t="s">
        <v>420</v>
      </c>
      <c r="H14" s="884">
        <v>0.25</v>
      </c>
      <c r="I14" s="224">
        <f>D14*F14*H14</f>
        <v>0.32500000000000001</v>
      </c>
      <c r="J14" s="532"/>
      <c r="K14" s="532"/>
      <c r="L14" s="532"/>
      <c r="M14" s="532"/>
      <c r="N14" s="532"/>
      <c r="O14" s="919"/>
    </row>
    <row r="15" spans="1:15" ht="13.2" customHeight="1" x14ac:dyDescent="0.3">
      <c r="A15" s="926">
        <v>20</v>
      </c>
      <c r="B15" s="288" t="s">
        <v>159</v>
      </c>
      <c r="C15" s="927" t="s">
        <v>487</v>
      </c>
      <c r="D15" s="285">
        <v>0.04</v>
      </c>
      <c r="E15" s="288" t="s">
        <v>161</v>
      </c>
      <c r="F15" s="884">
        <v>5.5</v>
      </c>
      <c r="G15" s="884" t="s">
        <v>413</v>
      </c>
      <c r="H15" s="884">
        <v>3</v>
      </c>
      <c r="I15" s="224">
        <f>D15*F15*H15</f>
        <v>0.66</v>
      </c>
      <c r="J15" s="532"/>
      <c r="K15" s="532"/>
      <c r="L15" s="532"/>
      <c r="M15" s="532"/>
      <c r="N15" s="532"/>
      <c r="O15" s="919"/>
    </row>
    <row r="16" spans="1:15" ht="14.4" customHeight="1" x14ac:dyDescent="0.3">
      <c r="A16" s="929">
        <v>30</v>
      </c>
      <c r="B16" s="886" t="s">
        <v>486</v>
      </c>
      <c r="C16" s="925" t="s">
        <v>485</v>
      </c>
      <c r="D16" s="285">
        <v>0.65</v>
      </c>
      <c r="E16" s="886" t="s">
        <v>32</v>
      </c>
      <c r="F16" s="924">
        <v>1</v>
      </c>
      <c r="G16" s="288" t="s">
        <v>420</v>
      </c>
      <c r="H16" s="884">
        <v>0.25</v>
      </c>
      <c r="I16" s="224">
        <f>D16*F16*H16</f>
        <v>0.16250000000000001</v>
      </c>
      <c r="J16" s="525"/>
      <c r="K16" s="525"/>
      <c r="L16" s="525"/>
      <c r="M16" s="525"/>
      <c r="N16" s="525"/>
      <c r="O16" s="928"/>
    </row>
    <row r="17" spans="1:15" ht="16.8" customHeight="1" x14ac:dyDescent="0.3">
      <c r="A17" s="926">
        <v>40</v>
      </c>
      <c r="B17" s="288" t="s">
        <v>159</v>
      </c>
      <c r="C17" s="927" t="s">
        <v>267</v>
      </c>
      <c r="D17" s="285">
        <v>0.04</v>
      </c>
      <c r="E17" s="288" t="s">
        <v>161</v>
      </c>
      <c r="F17" s="884">
        <v>0.3</v>
      </c>
      <c r="G17" s="884" t="s">
        <v>413</v>
      </c>
      <c r="H17" s="884">
        <v>3</v>
      </c>
      <c r="I17" s="224">
        <f>D17*F17*H17</f>
        <v>3.6000000000000004E-2</v>
      </c>
      <c r="J17" s="528"/>
      <c r="K17" s="528"/>
      <c r="L17" s="528"/>
      <c r="M17" s="528"/>
      <c r="N17" s="528"/>
      <c r="O17" s="919"/>
    </row>
    <row r="18" spans="1:15" ht="15" customHeight="1" x14ac:dyDescent="0.3">
      <c r="A18" s="926">
        <v>50</v>
      </c>
      <c r="B18" s="925" t="s">
        <v>484</v>
      </c>
      <c r="C18" s="925" t="s">
        <v>483</v>
      </c>
      <c r="D18" s="285">
        <v>0.35</v>
      </c>
      <c r="E18" s="886" t="s">
        <v>271</v>
      </c>
      <c r="F18" s="924">
        <v>1</v>
      </c>
      <c r="G18" s="744"/>
      <c r="H18" s="884">
        <v>1</v>
      </c>
      <c r="I18" s="224">
        <f>D18*F18*H18</f>
        <v>0.35</v>
      </c>
      <c r="J18" s="530"/>
      <c r="K18" s="530"/>
      <c r="L18" s="530"/>
      <c r="M18" s="530"/>
      <c r="N18" s="530"/>
      <c r="O18" s="923"/>
    </row>
    <row r="19" spans="1:15" x14ac:dyDescent="0.3">
      <c r="A19" s="922"/>
      <c r="B19" s="921"/>
      <c r="C19" s="921"/>
      <c r="D19" s="921"/>
      <c r="E19" s="921"/>
      <c r="F19" s="921"/>
      <c r="G19" s="921"/>
      <c r="H19" s="898" t="s">
        <v>18</v>
      </c>
      <c r="I19" s="897">
        <f>SUM(I14:I18)</f>
        <v>1.5335000000000001</v>
      </c>
      <c r="J19" s="921"/>
      <c r="K19" s="921"/>
      <c r="L19" s="921"/>
      <c r="M19" s="921"/>
      <c r="N19" s="921"/>
      <c r="O19" s="276"/>
    </row>
    <row r="20" spans="1:15" x14ac:dyDescent="0.3">
      <c r="A20" s="920"/>
      <c r="B20" s="528"/>
      <c r="C20" s="528"/>
      <c r="D20" s="528"/>
      <c r="E20" s="528"/>
      <c r="F20" s="528"/>
      <c r="G20" s="528"/>
      <c r="H20" s="528"/>
      <c r="I20" s="530"/>
      <c r="J20" s="528"/>
      <c r="K20" s="528"/>
      <c r="L20" s="528"/>
      <c r="M20" s="528"/>
      <c r="N20" s="528"/>
      <c r="O20" s="919"/>
    </row>
    <row r="21" spans="1:15" ht="15" thickBot="1" x14ac:dyDescent="0.35">
      <c r="A21" s="918"/>
      <c r="B21" s="917"/>
      <c r="C21" s="917"/>
      <c r="D21" s="917"/>
      <c r="E21" s="917"/>
      <c r="F21" s="917"/>
      <c r="G21" s="917"/>
      <c r="H21" s="917"/>
      <c r="I21" s="917"/>
      <c r="J21" s="917"/>
      <c r="K21" s="917"/>
      <c r="L21" s="917"/>
      <c r="M21" s="917"/>
      <c r="N21" s="917"/>
      <c r="O21" s="916"/>
    </row>
  </sheetData>
  <hyperlinks>
    <hyperlink ref="E3" location="dSU_09002" display="Drawing"/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502</v>
      </c>
    </row>
  </sheetData>
  <hyperlinks>
    <hyperlink ref="B1" location="SU_09002" display="SU_09002"/>
  </hyperlink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40"/>
  <sheetViews>
    <sheetView zoomScale="70" zoomScaleNormal="70" workbookViewId="0">
      <selection activeCell="G2" sqref="G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0.75842010136988647</v>
      </c>
      <c r="O2" s="62"/>
    </row>
    <row r="3" spans="1:16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1.5168402027397729</v>
      </c>
      <c r="O5" s="62"/>
    </row>
    <row r="6" spans="1:16" x14ac:dyDescent="0.3">
      <c r="A6" s="102" t="s">
        <v>7</v>
      </c>
      <c r="B6" t="s">
        <v>499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976">
        <v>10</v>
      </c>
      <c r="B11" s="682" t="s">
        <v>375</v>
      </c>
      <c r="C11" s="20" t="s">
        <v>492</v>
      </c>
      <c r="D11" s="289">
        <v>2.25</v>
      </c>
      <c r="E11" s="975">
        <f>L11*J11*K11</f>
        <v>2.5253378386616194E-2</v>
      </c>
      <c r="F11" s="20" t="s">
        <v>212</v>
      </c>
      <c r="G11" s="20"/>
      <c r="H11" s="290"/>
      <c r="I11" s="974" t="s">
        <v>491</v>
      </c>
      <c r="J11" s="985">
        <f>PI()*16*16/1000000</f>
        <v>8.0424771931898709E-4</v>
      </c>
      <c r="K11" s="985">
        <v>4.0000000000000001E-3</v>
      </c>
      <c r="L11" s="686">
        <v>7850</v>
      </c>
      <c r="M11" s="23">
        <v>1</v>
      </c>
      <c r="N11" s="289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73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902">
        <v>10</v>
      </c>
      <c r="B15" s="910" t="s">
        <v>418</v>
      </c>
      <c r="C15" s="910"/>
      <c r="D15" s="905">
        <v>1.3</v>
      </c>
      <c r="E15" s="910" t="s">
        <v>35</v>
      </c>
      <c r="F15" s="910">
        <v>1</v>
      </c>
      <c r="G15" s="910" t="s">
        <v>452</v>
      </c>
      <c r="H15" s="910">
        <f>1/2</f>
        <v>0.5</v>
      </c>
      <c r="I15" s="905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902">
        <v>20</v>
      </c>
      <c r="B16" s="910" t="s">
        <v>159</v>
      </c>
      <c r="C16" s="910"/>
      <c r="D16" s="905">
        <v>0.04</v>
      </c>
      <c r="E16" s="910" t="s">
        <v>161</v>
      </c>
      <c r="F16" s="910">
        <v>0.43</v>
      </c>
      <c r="G16" s="910" t="s">
        <v>413</v>
      </c>
      <c r="H16" s="910">
        <v>3</v>
      </c>
      <c r="I16" s="905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8"/>
      <c r="B22" s="948"/>
      <c r="C22" s="948"/>
      <c r="D22" s="948"/>
      <c r="E22" s="948"/>
      <c r="F22" s="948"/>
      <c r="G22" s="948"/>
      <c r="H22" s="948"/>
      <c r="I22" s="948"/>
      <c r="J22" s="948"/>
      <c r="K22" s="948"/>
      <c r="L22" s="948"/>
      <c r="M22" s="948"/>
      <c r="N22" s="948"/>
      <c r="O22" s="948"/>
      <c r="P22" s="948"/>
    </row>
    <row r="23" spans="1:16" x14ac:dyDescent="0.3">
      <c r="A23" s="948"/>
      <c r="B23" s="953"/>
      <c r="C23" s="949"/>
      <c r="D23" s="949"/>
      <c r="E23" s="949"/>
      <c r="F23" s="949"/>
      <c r="G23" s="969"/>
      <c r="H23" s="949"/>
      <c r="I23" s="949"/>
      <c r="J23" s="949"/>
      <c r="K23" s="972"/>
      <c r="L23" s="952"/>
      <c r="M23" s="949"/>
      <c r="N23" s="953"/>
      <c r="O23" s="960"/>
      <c r="P23" s="948"/>
    </row>
    <row r="24" spans="1:16" x14ac:dyDescent="0.3">
      <c r="A24" s="948"/>
      <c r="B24" s="953"/>
      <c r="C24" s="949"/>
      <c r="D24" s="971"/>
      <c r="E24" s="969"/>
      <c r="F24" s="949"/>
      <c r="G24" s="949"/>
      <c r="H24" s="949"/>
      <c r="I24" s="949"/>
      <c r="J24" s="949"/>
      <c r="K24" s="949"/>
      <c r="L24" s="949"/>
      <c r="M24" s="949"/>
      <c r="N24" s="953"/>
      <c r="O24" s="970"/>
      <c r="P24" s="948"/>
    </row>
    <row r="25" spans="1:16" x14ac:dyDescent="0.3">
      <c r="A25" s="948"/>
      <c r="B25" s="953"/>
      <c r="C25" s="969"/>
      <c r="D25" s="949"/>
      <c r="E25" s="953"/>
      <c r="F25" s="949"/>
      <c r="G25" s="949"/>
      <c r="H25" s="949"/>
      <c r="I25" s="949"/>
      <c r="J25" s="949"/>
      <c r="K25" s="953"/>
      <c r="L25" s="949"/>
      <c r="M25" s="949"/>
      <c r="N25" s="949"/>
      <c r="O25" s="950"/>
      <c r="P25" s="948"/>
    </row>
    <row r="26" spans="1:16" x14ac:dyDescent="0.3">
      <c r="A26" s="948"/>
      <c r="B26" s="953"/>
      <c r="C26" s="968"/>
      <c r="D26" s="949"/>
      <c r="E26" s="953"/>
      <c r="F26" s="949"/>
      <c r="G26" s="949"/>
      <c r="H26" s="949"/>
      <c r="I26" s="949"/>
      <c r="J26" s="949"/>
      <c r="K26" s="953"/>
      <c r="L26" s="949"/>
      <c r="M26" s="949"/>
      <c r="N26" s="953"/>
      <c r="O26" s="960"/>
      <c r="P26" s="948"/>
    </row>
    <row r="27" spans="1:16" x14ac:dyDescent="0.3">
      <c r="A27" s="948"/>
      <c r="B27" s="953"/>
      <c r="C27" s="967"/>
      <c r="D27" s="949"/>
      <c r="E27" s="949"/>
      <c r="F27" s="949"/>
      <c r="G27" s="949"/>
      <c r="H27" s="949"/>
      <c r="I27" s="949"/>
      <c r="J27" s="949"/>
      <c r="K27" s="953"/>
      <c r="L27" s="949"/>
      <c r="M27" s="949"/>
      <c r="N27" s="949"/>
      <c r="O27" s="949"/>
      <c r="P27" s="948"/>
    </row>
    <row r="28" spans="1:16" x14ac:dyDescent="0.3">
      <c r="A28" s="948"/>
      <c r="B28" s="953"/>
      <c r="C28" s="949"/>
      <c r="D28" s="949"/>
      <c r="E28" s="949"/>
      <c r="F28" s="949"/>
      <c r="G28" s="949"/>
      <c r="H28" s="949"/>
      <c r="I28" s="949"/>
      <c r="J28" s="949"/>
      <c r="K28" s="949"/>
      <c r="L28" s="949"/>
      <c r="M28" s="949"/>
      <c r="N28" s="949"/>
      <c r="O28" s="949"/>
      <c r="P28" s="948"/>
    </row>
    <row r="29" spans="1:16" x14ac:dyDescent="0.3">
      <c r="A29" s="948"/>
      <c r="B29" s="953"/>
      <c r="C29" s="950"/>
      <c r="D29" s="950"/>
      <c r="E29" s="950"/>
      <c r="F29" s="950"/>
      <c r="G29" s="950"/>
      <c r="H29" s="950"/>
      <c r="I29" s="950"/>
      <c r="J29" s="950"/>
      <c r="K29" s="950"/>
      <c r="L29" s="950"/>
      <c r="M29" s="950"/>
      <c r="N29" s="950"/>
      <c r="O29" s="950"/>
      <c r="P29" s="948"/>
    </row>
    <row r="30" spans="1:16" x14ac:dyDescent="0.3">
      <c r="A30" s="948"/>
      <c r="B30" s="948"/>
      <c r="C30" s="948"/>
      <c r="D30" s="948"/>
      <c r="E30" s="948"/>
      <c r="F30" s="948"/>
      <c r="G30" s="948"/>
      <c r="H30" s="948"/>
      <c r="I30" s="948"/>
      <c r="J30" s="948"/>
      <c r="K30" s="948"/>
      <c r="L30" s="948"/>
      <c r="M30" s="948"/>
      <c r="N30" s="948"/>
      <c r="O30" s="948"/>
      <c r="P30" s="948"/>
    </row>
    <row r="31" spans="1:16" x14ac:dyDescent="0.3">
      <c r="A31" s="948"/>
      <c r="B31" s="953"/>
      <c r="C31" s="953"/>
      <c r="D31" s="953"/>
      <c r="E31" s="953"/>
      <c r="F31" s="953"/>
      <c r="G31" s="953"/>
      <c r="H31" s="953"/>
      <c r="I31" s="953"/>
      <c r="J31" s="953"/>
      <c r="K31" s="953"/>
      <c r="L31" s="953"/>
      <c r="M31" s="953"/>
      <c r="N31" s="953"/>
      <c r="O31" s="953"/>
      <c r="P31" s="948"/>
    </row>
    <row r="32" spans="1:16" x14ac:dyDescent="0.3">
      <c r="A32" s="948"/>
      <c r="B32" s="949"/>
      <c r="C32" s="949"/>
      <c r="D32" s="949"/>
      <c r="E32" s="956"/>
      <c r="F32" s="966"/>
      <c r="G32" s="949"/>
      <c r="H32" s="949"/>
      <c r="I32" s="965"/>
      <c r="J32" s="964"/>
      <c r="K32" s="963"/>
      <c r="L32" s="962"/>
      <c r="M32" s="961"/>
      <c r="N32" s="961"/>
      <c r="O32" s="960"/>
      <c r="P32" s="948"/>
    </row>
    <row r="33" spans="1:16" x14ac:dyDescent="0.3">
      <c r="A33" s="948"/>
      <c r="B33" s="953"/>
      <c r="C33" s="953"/>
      <c r="D33" s="953"/>
      <c r="E33" s="953"/>
      <c r="F33" s="953"/>
      <c r="G33" s="953"/>
      <c r="H33" s="953"/>
      <c r="I33" s="953"/>
      <c r="J33" s="953"/>
      <c r="K33" s="953"/>
      <c r="L33" s="953"/>
      <c r="M33" s="953"/>
      <c r="N33" s="955"/>
      <c r="O33" s="954"/>
      <c r="P33" s="948"/>
    </row>
    <row r="34" spans="1:16" x14ac:dyDescent="0.3">
      <c r="A34" s="948"/>
      <c r="B34" s="948"/>
      <c r="C34" s="948"/>
      <c r="D34" s="948"/>
      <c r="E34" s="948"/>
      <c r="F34" s="948"/>
      <c r="G34" s="948"/>
      <c r="H34" s="948"/>
      <c r="I34" s="948"/>
      <c r="J34" s="948"/>
      <c r="K34" s="948"/>
      <c r="L34" s="948"/>
      <c r="M34" s="948"/>
      <c r="N34" s="948"/>
      <c r="O34" s="948"/>
      <c r="P34" s="948"/>
    </row>
    <row r="35" spans="1:16" x14ac:dyDescent="0.3">
      <c r="A35" s="948"/>
      <c r="B35" s="953"/>
      <c r="C35" s="953"/>
      <c r="D35" s="953"/>
      <c r="E35" s="953"/>
      <c r="F35" s="953"/>
      <c r="G35" s="953"/>
      <c r="H35" s="953"/>
      <c r="I35" s="953"/>
      <c r="J35" s="953"/>
      <c r="K35" s="953"/>
      <c r="L35" s="953"/>
      <c r="M35" s="953"/>
      <c r="N35" s="953"/>
      <c r="O35" s="953"/>
      <c r="P35" s="948"/>
    </row>
    <row r="36" spans="1:16" x14ac:dyDescent="0.3">
      <c r="A36" s="948"/>
      <c r="B36" s="949"/>
      <c r="C36" s="681"/>
      <c r="D36" s="959"/>
      <c r="E36" s="956"/>
      <c r="F36" s="949"/>
      <c r="G36" s="949"/>
      <c r="H36" s="957"/>
      <c r="I36" s="958"/>
      <c r="J36" s="956"/>
      <c r="K36" s="950"/>
      <c r="L36" s="950"/>
      <c r="M36" s="950"/>
      <c r="N36" s="950"/>
      <c r="O36" s="950"/>
      <c r="P36" s="948"/>
    </row>
    <row r="37" spans="1:16" x14ac:dyDescent="0.3">
      <c r="A37" s="948"/>
      <c r="B37" s="949"/>
      <c r="C37" s="681"/>
      <c r="D37" s="959"/>
      <c r="E37" s="956"/>
      <c r="F37" s="949"/>
      <c r="G37" s="958"/>
      <c r="H37" s="957"/>
      <c r="I37" s="949"/>
      <c r="J37" s="956"/>
      <c r="K37" s="950"/>
      <c r="L37" s="950"/>
      <c r="M37" s="950"/>
      <c r="N37" s="950"/>
      <c r="O37" s="950"/>
      <c r="P37" s="948"/>
    </row>
    <row r="38" spans="1:16" x14ac:dyDescent="0.3">
      <c r="A38" s="948"/>
      <c r="B38" s="953"/>
      <c r="C38" s="953"/>
      <c r="D38" s="953"/>
      <c r="E38" s="953"/>
      <c r="F38" s="953"/>
      <c r="G38" s="953"/>
      <c r="H38" s="953"/>
      <c r="I38" s="955"/>
      <c r="J38" s="954"/>
      <c r="K38" s="953"/>
      <c r="L38" s="953"/>
      <c r="M38" s="953"/>
      <c r="N38" s="953"/>
      <c r="O38" s="953"/>
      <c r="P38" s="948"/>
    </row>
    <row r="39" spans="1:16" x14ac:dyDescent="0.3">
      <c r="A39" s="948"/>
      <c r="B39" s="950"/>
      <c r="C39" s="950"/>
      <c r="D39" s="950"/>
      <c r="E39" s="950"/>
      <c r="F39" s="950"/>
      <c r="G39" s="950"/>
      <c r="H39" s="950"/>
      <c r="I39" s="952"/>
      <c r="J39" s="951"/>
      <c r="K39" s="950"/>
      <c r="L39" s="949"/>
      <c r="M39" s="949"/>
      <c r="N39" s="949"/>
      <c r="O39" s="949"/>
      <c r="P39" s="948"/>
    </row>
    <row r="40" spans="1:16" x14ac:dyDescent="0.3">
      <c r="B40" s="947"/>
      <c r="C40" s="947"/>
      <c r="D40" s="947"/>
      <c r="E40" s="947"/>
      <c r="F40" s="947"/>
      <c r="G40" s="947"/>
      <c r="H40" s="947"/>
      <c r="I40" s="947"/>
      <c r="J40" s="947"/>
      <c r="K40" s="947"/>
      <c r="L40" s="947"/>
      <c r="M40" s="947"/>
      <c r="N40" s="947"/>
      <c r="O40" s="947"/>
    </row>
  </sheetData>
  <hyperlinks>
    <hyperlink ref="E3" location="dSU_09003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503</v>
      </c>
    </row>
  </sheetData>
  <hyperlinks>
    <hyperlink ref="B1" location="SU_09003" display="SU_09003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A2" sqref="A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8"/>
  <sheetViews>
    <sheetView workbookViewId="0">
      <selection activeCell="G2" sqref="G2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0.85844020273977284</v>
      </c>
      <c r="O2" s="62"/>
    </row>
    <row r="3" spans="1:15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2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1.7168804054795457</v>
      </c>
      <c r="O5" s="62"/>
    </row>
    <row r="6" spans="1:15" x14ac:dyDescent="0.3">
      <c r="A6" s="102" t="s">
        <v>7</v>
      </c>
      <c r="B6" t="s">
        <v>500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9.4" customHeight="1" x14ac:dyDescent="0.3">
      <c r="A11" s="986">
        <v>10</v>
      </c>
      <c r="B11" s="987" t="s">
        <v>375</v>
      </c>
      <c r="C11" s="988" t="s">
        <v>492</v>
      </c>
      <c r="D11" s="32">
        <v>2.25</v>
      </c>
      <c r="E11" s="989">
        <f>L11*J11*K11</f>
        <v>5.0506756773232388E-2</v>
      </c>
      <c r="F11" s="988" t="s">
        <v>212</v>
      </c>
      <c r="G11" s="988"/>
      <c r="H11" s="990"/>
      <c r="I11" s="991" t="s">
        <v>491</v>
      </c>
      <c r="J11" s="985">
        <f>PI()*16*16/1000000</f>
        <v>8.0424771931898709E-4</v>
      </c>
      <c r="K11" s="1005">
        <v>8.0000000000000002E-3</v>
      </c>
      <c r="L11" s="1000">
        <v>7850</v>
      </c>
      <c r="M11" s="1001">
        <v>1</v>
      </c>
      <c r="N11" s="32">
        <f>IF(J11="",D11*M11,D11*J11*K11*L11*M11)</f>
        <v>0.11364020273977288</v>
      </c>
      <c r="O11" s="66"/>
    </row>
    <row r="12" spans="1:15" x14ac:dyDescent="0.3">
      <c r="A12" s="992"/>
      <c r="B12" s="993"/>
      <c r="C12" s="993"/>
      <c r="D12" s="993"/>
      <c r="E12" s="993"/>
      <c r="F12" s="993"/>
      <c r="G12" s="993"/>
      <c r="H12" s="993"/>
      <c r="I12" s="993"/>
      <c r="J12" s="993"/>
      <c r="K12" s="993"/>
      <c r="L12" s="993"/>
      <c r="M12" s="1002" t="s">
        <v>18</v>
      </c>
      <c r="N12" s="1003">
        <f>SUM(N11:N11)</f>
        <v>0.11364020273977288</v>
      </c>
      <c r="O12" s="62"/>
    </row>
    <row r="13" spans="1:15" x14ac:dyDescent="0.3">
      <c r="A13" s="994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95" t="s">
        <v>14</v>
      </c>
      <c r="B14" s="996" t="s">
        <v>31</v>
      </c>
      <c r="C14" s="996" t="s">
        <v>20</v>
      </c>
      <c r="D14" s="996" t="s">
        <v>21</v>
      </c>
      <c r="E14" s="996" t="s">
        <v>32</v>
      </c>
      <c r="F14" s="996" t="s">
        <v>17</v>
      </c>
      <c r="G14" s="996" t="s">
        <v>33</v>
      </c>
      <c r="H14" s="996" t="s">
        <v>34</v>
      </c>
      <c r="I14" s="996" t="s">
        <v>18</v>
      </c>
      <c r="J14" s="993"/>
      <c r="K14" s="993"/>
      <c r="L14" s="993"/>
      <c r="M14" s="993"/>
      <c r="N14" s="993"/>
      <c r="O14" s="62"/>
    </row>
    <row r="15" spans="1:15" ht="28.8" x14ac:dyDescent="0.3">
      <c r="A15" s="997">
        <v>10</v>
      </c>
      <c r="B15" s="998" t="s">
        <v>418</v>
      </c>
      <c r="C15" s="998"/>
      <c r="D15" s="999">
        <v>1.3</v>
      </c>
      <c r="E15" s="998" t="s">
        <v>35</v>
      </c>
      <c r="F15" s="998">
        <v>1</v>
      </c>
      <c r="G15" s="998" t="s">
        <v>452</v>
      </c>
      <c r="H15" s="998">
        <f>1/2</f>
        <v>0.5</v>
      </c>
      <c r="I15" s="999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97">
        <v>20</v>
      </c>
      <c r="B16" s="998" t="s">
        <v>159</v>
      </c>
      <c r="C16" s="998"/>
      <c r="D16" s="999">
        <v>0.04</v>
      </c>
      <c r="E16" s="998" t="s">
        <v>161</v>
      </c>
      <c r="F16" s="998">
        <v>0.79</v>
      </c>
      <c r="G16" s="998" t="s">
        <v>413</v>
      </c>
      <c r="H16" s="998">
        <v>3</v>
      </c>
      <c r="I16" s="999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92"/>
      <c r="B17" s="993"/>
      <c r="C17" s="993"/>
      <c r="D17" s="993"/>
      <c r="E17" s="993"/>
      <c r="F17" s="993"/>
      <c r="G17" s="993"/>
      <c r="H17" s="1004" t="s">
        <v>18</v>
      </c>
      <c r="I17" s="1003">
        <f>SUM(I15:I16)</f>
        <v>0.74480000000000002</v>
      </c>
      <c r="J17" s="993"/>
      <c r="K17" s="993"/>
      <c r="L17" s="993"/>
      <c r="M17" s="993"/>
      <c r="N17" s="993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504</v>
      </c>
    </row>
  </sheetData>
  <hyperlinks>
    <hyperlink ref="B1" location="SU_09004" display="SU_09004"/>
  </hyperlink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zoomScaleNormal="10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78"/>
      <c r="N1" s="281"/>
      <c r="O1" s="56"/>
    </row>
    <row r="2" spans="1:15" x14ac:dyDescent="0.3">
      <c r="A2" s="1050" t="s">
        <v>0</v>
      </c>
      <c r="B2" s="16" t="s">
        <v>37</v>
      </c>
      <c r="C2" s="56"/>
      <c r="D2" s="56"/>
      <c r="E2" s="88" t="s">
        <v>126</v>
      </c>
      <c r="F2" s="56"/>
      <c r="G2" s="56"/>
      <c r="H2" s="1006" t="s">
        <v>1</v>
      </c>
      <c r="I2" s="83">
        <v>81</v>
      </c>
      <c r="J2" s="56"/>
      <c r="K2" s="1006" t="s">
        <v>2</v>
      </c>
      <c r="L2" s="95">
        <f>SU_A1000_pa+SU_A1000_p+SU_A1000_f</f>
        <v>147.70868052825119</v>
      </c>
      <c r="M2" s="276"/>
      <c r="O2" s="56"/>
    </row>
    <row r="3" spans="1:15" x14ac:dyDescent="0.3">
      <c r="A3" s="1050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1006" t="s">
        <v>4</v>
      </c>
      <c r="L3" s="82">
        <v>2</v>
      </c>
      <c r="M3" s="276"/>
      <c r="O3" s="56"/>
    </row>
    <row r="4" spans="1:15" x14ac:dyDescent="0.3">
      <c r="A4" s="1050" t="s">
        <v>5</v>
      </c>
      <c r="B4" s="57" t="s">
        <v>506</v>
      </c>
      <c r="C4" s="56"/>
      <c r="D4" s="56"/>
      <c r="E4" s="56"/>
      <c r="F4" s="56"/>
      <c r="G4" s="56"/>
      <c r="H4" s="1007" t="s">
        <v>6</v>
      </c>
      <c r="I4" s="56"/>
      <c r="J4" s="56"/>
      <c r="K4" s="56"/>
      <c r="L4" s="56"/>
      <c r="M4" s="276"/>
      <c r="O4" s="56"/>
    </row>
    <row r="5" spans="1:15" x14ac:dyDescent="0.3">
      <c r="A5" s="1050" t="s">
        <v>7</v>
      </c>
      <c r="B5" s="18" t="s">
        <v>507</v>
      </c>
      <c r="C5" s="56"/>
      <c r="D5" s="56"/>
      <c r="E5" s="56"/>
      <c r="F5" s="56"/>
      <c r="G5" s="56"/>
      <c r="H5" s="1007" t="s">
        <v>8</v>
      </c>
      <c r="I5" s="56"/>
      <c r="J5" s="56"/>
      <c r="K5" s="1006" t="s">
        <v>9</v>
      </c>
      <c r="L5" s="74">
        <f>L2*L3</f>
        <v>295.41736105650239</v>
      </c>
      <c r="M5" s="276"/>
      <c r="O5" s="56"/>
    </row>
    <row r="6" spans="1:15" x14ac:dyDescent="0.3">
      <c r="A6" s="1050" t="s">
        <v>10</v>
      </c>
      <c r="B6" s="16" t="s">
        <v>11</v>
      </c>
      <c r="C6" s="56"/>
      <c r="D6" s="56"/>
      <c r="E6" s="56"/>
      <c r="F6" s="56"/>
      <c r="G6" s="56"/>
      <c r="H6" s="1007" t="s">
        <v>12</v>
      </c>
      <c r="I6" s="56"/>
      <c r="J6" s="56"/>
      <c r="K6" s="56"/>
      <c r="L6" s="56"/>
      <c r="M6" s="276"/>
      <c r="O6" s="56"/>
    </row>
    <row r="7" spans="1:15" x14ac:dyDescent="0.3">
      <c r="A7" s="1050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76"/>
      <c r="N7" s="56"/>
      <c r="O7" s="5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76"/>
      <c r="N8" s="56"/>
      <c r="O8" s="56"/>
    </row>
    <row r="9" spans="1:15" x14ac:dyDescent="0.3">
      <c r="A9" s="1050" t="s">
        <v>14</v>
      </c>
      <c r="B9" s="1006" t="s">
        <v>15</v>
      </c>
      <c r="C9" s="1006" t="s">
        <v>16</v>
      </c>
      <c r="D9" s="1006" t="s">
        <v>17</v>
      </c>
      <c r="E9" s="1006" t="s">
        <v>18</v>
      </c>
      <c r="F9" s="56"/>
      <c r="G9" s="56"/>
      <c r="H9" s="56"/>
      <c r="I9" s="56"/>
      <c r="J9" s="56"/>
      <c r="K9" s="56"/>
      <c r="L9" s="56"/>
      <c r="M9" s="276"/>
      <c r="N9" s="56"/>
      <c r="O9" s="56"/>
    </row>
    <row r="10" spans="1:15" x14ac:dyDescent="0.3">
      <c r="A10" s="731">
        <v>10</v>
      </c>
      <c r="B10" s="86" t="str">
        <f>'SU 10001'!B5</f>
        <v>Front Upright</v>
      </c>
      <c r="C10" s="74">
        <f>'SU 10001'!N2</f>
        <v>99.563970000000012</v>
      </c>
      <c r="D10" s="1008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76"/>
      <c r="N10" s="56"/>
      <c r="O10" s="56"/>
    </row>
    <row r="11" spans="1:15" x14ac:dyDescent="0.3">
      <c r="A11" s="731">
        <v>20</v>
      </c>
      <c r="B11" s="1009" t="s">
        <v>509</v>
      </c>
      <c r="C11" s="74">
        <f>'SU 10002'!N2</f>
        <v>2.5052785600000003</v>
      </c>
      <c r="D11" s="1008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40"/>
      <c r="N11" s="57"/>
      <c r="O11" s="56"/>
    </row>
    <row r="12" spans="1:15" x14ac:dyDescent="0.3">
      <c r="A12" s="731">
        <v>30</v>
      </c>
      <c r="B12" s="88" t="s">
        <v>510</v>
      </c>
      <c r="C12" s="74">
        <f>'SU 10003'!N2</f>
        <v>18.677843750000001</v>
      </c>
      <c r="D12" s="1008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40"/>
      <c r="N12" s="57"/>
      <c r="O12" s="1054"/>
    </row>
    <row r="13" spans="1:15" s="17" customFormat="1" x14ac:dyDescent="0.3">
      <c r="A13" s="731">
        <v>40</v>
      </c>
      <c r="B13" s="86" t="s">
        <v>511</v>
      </c>
      <c r="C13" s="74">
        <f>'SU 10004'!N2</f>
        <v>0.83572750000000007</v>
      </c>
      <c r="D13" s="1008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40"/>
      <c r="N13" s="57"/>
      <c r="O13" s="1054"/>
    </row>
    <row r="14" spans="1:15" s="17" customFormat="1" x14ac:dyDescent="0.3">
      <c r="A14" s="731">
        <v>50</v>
      </c>
      <c r="B14" s="86" t="s">
        <v>512</v>
      </c>
      <c r="C14" s="74">
        <f>'SU 10005'!N2</f>
        <v>0.42691833333333334</v>
      </c>
      <c r="D14" s="1008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40"/>
      <c r="N14" s="57"/>
      <c r="O14" s="57"/>
    </row>
    <row r="15" spans="1:15" x14ac:dyDescent="0.3">
      <c r="A15" s="722"/>
      <c r="B15" s="56"/>
      <c r="C15" s="56"/>
      <c r="D15" s="101" t="s">
        <v>18</v>
      </c>
      <c r="E15" s="1010">
        <f>SUM(E10:E14)</f>
        <v>127.98659481</v>
      </c>
      <c r="F15" s="57"/>
      <c r="G15" s="57"/>
      <c r="H15" s="57"/>
      <c r="I15" s="57"/>
      <c r="J15" s="57"/>
      <c r="K15" s="57"/>
      <c r="L15" s="57"/>
      <c r="M15" s="740"/>
      <c r="N15" s="57"/>
      <c r="O15" s="56"/>
    </row>
    <row r="16" spans="1:15" x14ac:dyDescent="0.3">
      <c r="A16" s="722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76"/>
      <c r="N16" s="56"/>
      <c r="O16" s="56"/>
    </row>
    <row r="17" spans="1:19" x14ac:dyDescent="0.3">
      <c r="A17" s="722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76"/>
      <c r="N17" s="56"/>
      <c r="O17" s="56"/>
    </row>
    <row r="18" spans="1:19" x14ac:dyDescent="0.3">
      <c r="A18" s="1050" t="s">
        <v>14</v>
      </c>
      <c r="B18" s="1006" t="s">
        <v>31</v>
      </c>
      <c r="C18" s="1006" t="s">
        <v>20</v>
      </c>
      <c r="D18" s="1006" t="s">
        <v>21</v>
      </c>
      <c r="E18" s="1006" t="s">
        <v>32</v>
      </c>
      <c r="F18" s="1006" t="s">
        <v>17</v>
      </c>
      <c r="G18" s="1006" t="s">
        <v>33</v>
      </c>
      <c r="H18" s="1006" t="s">
        <v>34</v>
      </c>
      <c r="I18" s="1006" t="s">
        <v>18</v>
      </c>
      <c r="J18" s="24"/>
      <c r="K18" s="24"/>
      <c r="L18" s="24"/>
      <c r="M18" s="1055"/>
      <c r="N18" s="24"/>
      <c r="O18" s="58"/>
    </row>
    <row r="19" spans="1:19" s="22" customFormat="1" x14ac:dyDescent="0.3">
      <c r="A19" s="1051">
        <v>10</v>
      </c>
      <c r="B19" s="673" t="s">
        <v>513</v>
      </c>
      <c r="C19" s="673" t="s">
        <v>514</v>
      </c>
      <c r="D19" s="1012">
        <v>0.56000000000000005</v>
      </c>
      <c r="E19" s="1013" t="s">
        <v>35</v>
      </c>
      <c r="F19" s="1013">
        <v>1</v>
      </c>
      <c r="G19" s="1013"/>
      <c r="H19" s="1013">
        <v>1</v>
      </c>
      <c r="I19" s="74">
        <f t="shared" ref="I19:I22" si="0">IF(H19="",D19*F19,D19*F19*H19)</f>
        <v>0.56000000000000005</v>
      </c>
      <c r="J19" s="56"/>
      <c r="K19" s="56"/>
      <c r="L19" s="56"/>
      <c r="M19" s="276"/>
      <c r="N19" s="56"/>
      <c r="O19" s="56"/>
    </row>
    <row r="20" spans="1:19" x14ac:dyDescent="0.3">
      <c r="A20" s="1046">
        <v>20</v>
      </c>
      <c r="B20" s="1025" t="s">
        <v>515</v>
      </c>
      <c r="C20" s="1025" t="s">
        <v>516</v>
      </c>
      <c r="D20" s="1026">
        <v>0.13</v>
      </c>
      <c r="E20" s="1024" t="s">
        <v>35</v>
      </c>
      <c r="F20" s="1024">
        <v>1</v>
      </c>
      <c r="G20" s="1024"/>
      <c r="H20" s="1024">
        <v>1</v>
      </c>
      <c r="I20" s="1027">
        <f t="shared" si="0"/>
        <v>0.13</v>
      </c>
      <c r="J20" s="56"/>
      <c r="K20" s="56"/>
      <c r="L20" s="56"/>
      <c r="M20" s="276"/>
      <c r="N20" s="56"/>
      <c r="O20" s="56"/>
    </row>
    <row r="21" spans="1:19" x14ac:dyDescent="0.3">
      <c r="A21" s="1046">
        <v>30</v>
      </c>
      <c r="B21" s="1025" t="s">
        <v>515</v>
      </c>
      <c r="C21" s="1025" t="s">
        <v>517</v>
      </c>
      <c r="D21" s="1026">
        <v>0.13</v>
      </c>
      <c r="E21" s="1024" t="s">
        <v>35</v>
      </c>
      <c r="F21" s="1024">
        <v>1</v>
      </c>
      <c r="G21" s="1024"/>
      <c r="H21" s="1024">
        <v>1</v>
      </c>
      <c r="I21" s="1027">
        <f t="shared" si="0"/>
        <v>0.13</v>
      </c>
      <c r="J21" s="56"/>
      <c r="K21" s="56"/>
      <c r="L21" s="56"/>
      <c r="M21" s="276"/>
      <c r="N21" s="56"/>
      <c r="O21" s="56"/>
    </row>
    <row r="22" spans="1:19" x14ac:dyDescent="0.3">
      <c r="A22" s="1046">
        <v>40</v>
      </c>
      <c r="B22" s="1025" t="s">
        <v>515</v>
      </c>
      <c r="C22" s="1025" t="s">
        <v>518</v>
      </c>
      <c r="D22" s="1026">
        <v>0.13</v>
      </c>
      <c r="E22" s="1024" t="s">
        <v>35</v>
      </c>
      <c r="F22" s="1024">
        <v>1</v>
      </c>
      <c r="G22" s="1024"/>
      <c r="H22" s="1024">
        <v>1</v>
      </c>
      <c r="I22" s="1027">
        <f t="shared" si="0"/>
        <v>0.13</v>
      </c>
      <c r="J22" s="57"/>
      <c r="K22" s="57"/>
      <c r="L22" s="57"/>
      <c r="M22" s="740"/>
      <c r="N22" s="57"/>
      <c r="O22" s="57"/>
    </row>
    <row r="23" spans="1:19" s="25" customFormat="1" ht="14.4" customHeight="1" x14ac:dyDescent="0.3">
      <c r="A23" s="1052">
        <v>50</v>
      </c>
      <c r="B23" s="1025" t="s">
        <v>366</v>
      </c>
      <c r="C23" s="1025" t="s">
        <v>519</v>
      </c>
      <c r="D23" s="1026">
        <v>0.75</v>
      </c>
      <c r="E23" s="1024" t="s">
        <v>35</v>
      </c>
      <c r="F23" s="1024">
        <v>3</v>
      </c>
      <c r="G23" s="1024"/>
      <c r="H23" s="1024">
        <v>1</v>
      </c>
      <c r="I23" s="1027">
        <f>IF(H23="",D23*F23,D23*F23*H23)</f>
        <v>2.25</v>
      </c>
      <c r="J23" s="57"/>
      <c r="K23" s="57"/>
      <c r="L23" s="57"/>
      <c r="M23" s="740"/>
      <c r="N23" s="57"/>
      <c r="O23" s="58"/>
    </row>
    <row r="24" spans="1:19" ht="16.2" customHeight="1" x14ac:dyDescent="0.3">
      <c r="A24" s="1046">
        <v>60</v>
      </c>
      <c r="B24" s="663" t="s">
        <v>520</v>
      </c>
      <c r="C24" s="1025" t="s">
        <v>519</v>
      </c>
      <c r="D24" s="1031">
        <v>0.25</v>
      </c>
      <c r="E24" s="1028" t="s">
        <v>32</v>
      </c>
      <c r="F24" s="1028">
        <v>3</v>
      </c>
      <c r="G24" s="1024"/>
      <c r="H24" s="1024">
        <v>1</v>
      </c>
      <c r="I24" s="1027">
        <f>IF(H24="",D24*F24,D24*F24*H24)</f>
        <v>0.75</v>
      </c>
      <c r="J24" s="57"/>
      <c r="K24" s="57"/>
      <c r="L24" s="57"/>
      <c r="M24" s="740"/>
      <c r="N24" s="57"/>
      <c r="O24" s="58"/>
    </row>
    <row r="25" spans="1:19" x14ac:dyDescent="0.3">
      <c r="A25" s="1046">
        <v>70</v>
      </c>
      <c r="B25" s="1025" t="s">
        <v>515</v>
      </c>
      <c r="C25" s="1025" t="s">
        <v>521</v>
      </c>
      <c r="D25" s="1026">
        <v>0.13</v>
      </c>
      <c r="E25" s="1024" t="s">
        <v>522</v>
      </c>
      <c r="F25" s="1024">
        <v>1</v>
      </c>
      <c r="G25" s="1024"/>
      <c r="H25" s="1024">
        <v>1</v>
      </c>
      <c r="I25" s="1027">
        <f>IF(H25="",D25*F25,D25*F25*H25)</f>
        <v>0.13</v>
      </c>
      <c r="J25" s="57"/>
      <c r="K25" s="57"/>
      <c r="L25" s="57"/>
      <c r="M25" s="740"/>
      <c r="N25" s="57"/>
      <c r="O25" s="57"/>
    </row>
    <row r="26" spans="1:19" x14ac:dyDescent="0.3">
      <c r="A26" s="1052">
        <v>80</v>
      </c>
      <c r="B26" s="1025" t="s">
        <v>523</v>
      </c>
      <c r="C26" s="1025" t="s">
        <v>524</v>
      </c>
      <c r="D26" s="1029">
        <v>0.63</v>
      </c>
      <c r="E26" s="1024" t="s">
        <v>35</v>
      </c>
      <c r="F26" s="1024">
        <v>1</v>
      </c>
      <c r="G26" s="1024"/>
      <c r="H26" s="1024">
        <v>1</v>
      </c>
      <c r="I26" s="1027">
        <f>IF(H26="",D26*F26,D26*F26*H26)</f>
        <v>0.63</v>
      </c>
      <c r="J26" s="56"/>
      <c r="K26" s="56"/>
      <c r="L26" s="56"/>
      <c r="M26" s="276"/>
      <c r="N26" s="56"/>
      <c r="O26" s="56"/>
    </row>
    <row r="27" spans="1:19" s="17" customFormat="1" x14ac:dyDescent="0.3">
      <c r="A27" s="1046">
        <v>90</v>
      </c>
      <c r="B27" s="1025" t="s">
        <v>366</v>
      </c>
      <c r="C27" s="1025" t="s">
        <v>525</v>
      </c>
      <c r="D27" s="1026">
        <v>0.75</v>
      </c>
      <c r="E27" s="1024" t="s">
        <v>32</v>
      </c>
      <c r="F27" s="1024">
        <v>2</v>
      </c>
      <c r="G27" s="1024"/>
      <c r="H27" s="1024">
        <v>1</v>
      </c>
      <c r="I27" s="1026">
        <f t="shared" ref="I27" si="1">D27*F27*H27</f>
        <v>1.5</v>
      </c>
      <c r="J27" s="649"/>
      <c r="K27" s="649"/>
      <c r="L27" s="649"/>
      <c r="M27" s="1053"/>
      <c r="N27" s="649"/>
      <c r="O27" s="649"/>
      <c r="P27" s="649"/>
      <c r="Q27" s="649"/>
      <c r="R27" s="649"/>
      <c r="S27" s="649"/>
    </row>
    <row r="28" spans="1:19" s="25" customFormat="1" x14ac:dyDescent="0.3">
      <c r="A28" s="1046">
        <v>100</v>
      </c>
      <c r="B28" s="1025" t="s">
        <v>520</v>
      </c>
      <c r="C28" s="1025" t="s">
        <v>525</v>
      </c>
      <c r="D28" s="1026">
        <v>0.25</v>
      </c>
      <c r="E28" s="1024" t="s">
        <v>32</v>
      </c>
      <c r="F28" s="1024">
        <v>2</v>
      </c>
      <c r="G28" s="1024"/>
      <c r="H28" s="1024">
        <v>1</v>
      </c>
      <c r="I28" s="1026">
        <f>D28*F28*H28</f>
        <v>0.5</v>
      </c>
      <c r="J28" s="649"/>
      <c r="K28" s="649"/>
      <c r="L28" s="649"/>
      <c r="M28" s="1053"/>
      <c r="N28" s="649"/>
      <c r="O28" s="649"/>
      <c r="P28" s="649"/>
      <c r="Q28" s="649"/>
      <c r="R28" s="649"/>
      <c r="S28" s="649"/>
    </row>
    <row r="29" spans="1:19" s="17" customFormat="1" ht="28.8" x14ac:dyDescent="0.3">
      <c r="A29" s="1046">
        <v>110</v>
      </c>
      <c r="B29" s="288" t="s">
        <v>526</v>
      </c>
      <c r="C29" s="1024" t="s">
        <v>527</v>
      </c>
      <c r="D29" s="1030">
        <v>8.75</v>
      </c>
      <c r="E29" s="1024" t="s">
        <v>32</v>
      </c>
      <c r="F29" s="1024">
        <v>1</v>
      </c>
      <c r="G29" s="1024"/>
      <c r="H29" s="1024">
        <v>1</v>
      </c>
      <c r="I29" s="1030">
        <f>D29*F29*H29</f>
        <v>8.75</v>
      </c>
      <c r="J29" s="649"/>
      <c r="K29" s="649"/>
      <c r="L29" s="649"/>
      <c r="M29" s="1053"/>
      <c r="N29" s="649"/>
      <c r="O29" s="649"/>
      <c r="P29" s="649"/>
      <c r="Q29" s="649"/>
      <c r="R29" s="649"/>
      <c r="S29" s="649"/>
    </row>
    <row r="30" spans="1:19" x14ac:dyDescent="0.3">
      <c r="A30" s="736"/>
      <c r="B30" s="24"/>
      <c r="C30" s="24"/>
      <c r="D30" s="24"/>
      <c r="E30" s="24"/>
      <c r="F30" s="24"/>
      <c r="G30" s="24"/>
      <c r="H30" s="101" t="s">
        <v>18</v>
      </c>
      <c r="I30" s="1010">
        <f>SUM(I19:I29)</f>
        <v>15.46</v>
      </c>
      <c r="J30" s="56"/>
      <c r="K30" s="56"/>
      <c r="L30" s="56"/>
      <c r="M30" s="276"/>
      <c r="N30" s="56"/>
      <c r="O30" s="56"/>
      <c r="P30" s="17"/>
      <c r="Q30" s="17"/>
      <c r="R30" s="17"/>
      <c r="S30" s="17"/>
    </row>
    <row r="31" spans="1:19" x14ac:dyDescent="0.3">
      <c r="A31" s="722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76"/>
      <c r="N31" s="56"/>
      <c r="O31" s="56"/>
      <c r="P31" s="25"/>
      <c r="Q31" s="25"/>
      <c r="R31" s="25"/>
      <c r="S31" s="25"/>
    </row>
    <row r="32" spans="1:19" x14ac:dyDescent="0.3">
      <c r="A32" s="1050" t="s">
        <v>14</v>
      </c>
      <c r="B32" s="1006" t="s">
        <v>36</v>
      </c>
      <c r="C32" s="1006" t="s">
        <v>20</v>
      </c>
      <c r="D32" s="1006" t="s">
        <v>21</v>
      </c>
      <c r="E32" s="1006" t="s">
        <v>22</v>
      </c>
      <c r="F32" s="1006" t="s">
        <v>23</v>
      </c>
      <c r="G32" s="1006" t="s">
        <v>24</v>
      </c>
      <c r="H32" s="1006" t="s">
        <v>25</v>
      </c>
      <c r="I32" s="1006" t="s">
        <v>17</v>
      </c>
      <c r="J32" s="1006" t="s">
        <v>18</v>
      </c>
      <c r="K32" s="56"/>
      <c r="L32" s="56"/>
      <c r="M32" s="276"/>
      <c r="N32" s="56"/>
      <c r="O32" s="56"/>
      <c r="P32" s="17"/>
      <c r="Q32" s="17"/>
      <c r="R32" s="17"/>
      <c r="S32" s="17"/>
    </row>
    <row r="33" spans="1:16" x14ac:dyDescent="0.3">
      <c r="A33" s="1046">
        <v>10</v>
      </c>
      <c r="B33" s="783" t="s">
        <v>528</v>
      </c>
      <c r="C33" s="1024" t="s">
        <v>529</v>
      </c>
      <c r="D33" s="1026">
        <f>1.25/105154*E33^2*G33*SQRT(G33)+(0.005*EXP(0.319*E33))</f>
        <v>1.0655214295627982</v>
      </c>
      <c r="E33" s="1024">
        <v>12</v>
      </c>
      <c r="F33" s="1032" t="s">
        <v>30</v>
      </c>
      <c r="G33" s="1024">
        <v>62</v>
      </c>
      <c r="H33" s="1025" t="s">
        <v>30</v>
      </c>
      <c r="I33" s="1033">
        <v>4</v>
      </c>
      <c r="J33" s="1026">
        <f>D33*I33</f>
        <v>4.2620857182511926</v>
      </c>
      <c r="K33" s="56"/>
      <c r="L33" s="56"/>
      <c r="M33" s="276"/>
      <c r="N33" s="56"/>
      <c r="O33" s="56"/>
    </row>
    <row r="34" spans="1:16" x14ac:dyDescent="0.3">
      <c r="A34" s="736"/>
      <c r="B34" s="24"/>
      <c r="C34" s="24"/>
      <c r="D34" s="24"/>
      <c r="E34" s="24"/>
      <c r="F34" s="24"/>
      <c r="G34" s="24"/>
      <c r="H34" s="24"/>
      <c r="I34" s="101" t="s">
        <v>18</v>
      </c>
      <c r="J34" s="1010">
        <f>SUM(J33:J33)</f>
        <v>4.2620857182511926</v>
      </c>
      <c r="K34" s="56"/>
      <c r="L34" s="56"/>
      <c r="M34" s="276"/>
      <c r="N34" s="56"/>
      <c r="O34" s="56"/>
    </row>
    <row r="35" spans="1:16" x14ac:dyDescent="0.3">
      <c r="A35" s="722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76"/>
      <c r="N35" s="56"/>
      <c r="O35" s="56"/>
    </row>
    <row r="36" spans="1:16" ht="15" thickBot="1" x14ac:dyDescent="0.35">
      <c r="A36" s="296"/>
      <c r="B36" s="297"/>
      <c r="C36" s="297"/>
      <c r="D36" s="297"/>
      <c r="E36" s="297"/>
      <c r="F36" s="297"/>
      <c r="G36" s="297"/>
      <c r="H36" s="297"/>
      <c r="I36" s="297"/>
      <c r="J36" s="297"/>
      <c r="K36" s="297"/>
      <c r="L36" s="297"/>
      <c r="M36" s="298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N12+I29</f>
        <v>99.563970000000012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530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99.563970000000012</v>
      </c>
      <c r="O5" s="276"/>
    </row>
    <row r="6" spans="1:15" x14ac:dyDescent="0.3">
      <c r="A6" s="1036" t="s">
        <v>7</v>
      </c>
      <c r="B6" s="28" t="s">
        <v>531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ht="28.8" x14ac:dyDescent="0.3">
      <c r="A11" s="1042">
        <v>10</v>
      </c>
      <c r="B11" s="987" t="s">
        <v>533</v>
      </c>
      <c r="C11" s="988"/>
      <c r="D11" s="32">
        <v>4.2</v>
      </c>
      <c r="E11" s="1043">
        <f>J11*K11*L11</f>
        <v>6.1528499999999999</v>
      </c>
      <c r="F11" s="988" t="s">
        <v>212</v>
      </c>
      <c r="G11" s="988"/>
      <c r="H11" s="990"/>
      <c r="I11" s="847" t="s">
        <v>534</v>
      </c>
      <c r="J11" s="1005">
        <f>(165*275*10^-6)</f>
        <v>4.5374999999999999E-2</v>
      </c>
      <c r="K11" s="1005">
        <v>0.05</v>
      </c>
      <c r="L11" s="1000">
        <v>2712</v>
      </c>
      <c r="M11" s="1001">
        <v>1</v>
      </c>
      <c r="N11" s="32">
        <f>D11*E11</f>
        <v>25.84197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25.84197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ht="28.8" x14ac:dyDescent="0.3">
      <c r="A15" s="1046">
        <v>10</v>
      </c>
      <c r="B15" s="1025" t="s">
        <v>535</v>
      </c>
      <c r="C15" s="1025" t="s">
        <v>536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6">
        <v>20</v>
      </c>
      <c r="B16" s="1025" t="s">
        <v>159</v>
      </c>
      <c r="C16" s="1025" t="s">
        <v>537</v>
      </c>
      <c r="D16" s="1047">
        <v>0.04</v>
      </c>
      <c r="E16" s="1024" t="s">
        <v>161</v>
      </c>
      <c r="F16" s="1024">
        <v>1268</v>
      </c>
      <c r="G16" s="1024" t="s">
        <v>264</v>
      </c>
      <c r="H16" s="1024">
        <v>1</v>
      </c>
      <c r="I16" s="32">
        <f t="shared" si="0"/>
        <v>50.72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6">
        <v>30</v>
      </c>
      <c r="B17" s="1025" t="s">
        <v>158</v>
      </c>
      <c r="C17" s="1025" t="s">
        <v>538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ht="28.8" x14ac:dyDescent="0.3">
      <c r="A18" s="1046">
        <v>40</v>
      </c>
      <c r="B18" s="1025" t="s">
        <v>159</v>
      </c>
      <c r="C18" s="1025" t="s">
        <v>539</v>
      </c>
      <c r="D18" s="1047">
        <v>0.04</v>
      </c>
      <c r="E18" s="1024" t="s">
        <v>161</v>
      </c>
      <c r="F18" s="1024">
        <v>352.2</v>
      </c>
      <c r="G18" s="1024" t="s">
        <v>264</v>
      </c>
      <c r="H18" s="1024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6">
        <v>50</v>
      </c>
      <c r="B19" s="1025" t="s">
        <v>158</v>
      </c>
      <c r="C19" s="1025"/>
      <c r="D19" s="1047">
        <v>0.65</v>
      </c>
      <c r="E19" s="1024" t="s">
        <v>32</v>
      </c>
      <c r="F19" s="1024">
        <v>1</v>
      </c>
      <c r="G19" s="1024"/>
      <c r="H19" s="1024">
        <v>1</v>
      </c>
      <c r="I19" s="32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ht="43.2" x14ac:dyDescent="0.3">
      <c r="A20" s="1046">
        <v>60</v>
      </c>
      <c r="B20" s="1025" t="s">
        <v>159</v>
      </c>
      <c r="C20" s="1025" t="s">
        <v>540</v>
      </c>
      <c r="D20" s="1047">
        <v>0.04</v>
      </c>
      <c r="E20" s="1024" t="s">
        <v>161</v>
      </c>
      <c r="F20" s="1024">
        <v>72.2</v>
      </c>
      <c r="G20" s="1024" t="s">
        <v>264</v>
      </c>
      <c r="H20" s="1024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40"/>
    </row>
    <row r="21" spans="1:15" s="17" customFormat="1" x14ac:dyDescent="0.3">
      <c r="A21" s="1046">
        <v>70</v>
      </c>
      <c r="B21" s="1025" t="s">
        <v>158</v>
      </c>
      <c r="C21" s="1025"/>
      <c r="D21" s="1047">
        <v>0.65</v>
      </c>
      <c r="E21" s="1024" t="s">
        <v>32</v>
      </c>
      <c r="F21" s="1024">
        <v>1</v>
      </c>
      <c r="G21" s="1024"/>
      <c r="H21" s="1024">
        <v>1</v>
      </c>
      <c r="I21" s="32">
        <f t="shared" si="0"/>
        <v>0.65</v>
      </c>
      <c r="J21" s="57"/>
      <c r="K21" s="57"/>
      <c r="L21" s="57"/>
      <c r="M21" s="57"/>
      <c r="N21" s="57"/>
      <c r="O21" s="740"/>
    </row>
    <row r="22" spans="1:15" x14ac:dyDescent="0.3">
      <c r="A22" s="1046">
        <v>80</v>
      </c>
      <c r="B22" s="1025" t="s">
        <v>159</v>
      </c>
      <c r="C22" s="1025" t="s">
        <v>541</v>
      </c>
      <c r="D22" s="1047">
        <v>0.04</v>
      </c>
      <c r="E22" s="1024" t="s">
        <v>161</v>
      </c>
      <c r="F22" s="1024">
        <v>1.1000000000000001</v>
      </c>
      <c r="G22" s="1024" t="s">
        <v>264</v>
      </c>
      <c r="H22" s="1024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76"/>
    </row>
    <row r="23" spans="1:15" x14ac:dyDescent="0.3">
      <c r="A23" s="1046">
        <v>90</v>
      </c>
      <c r="B23" s="1025" t="s">
        <v>158</v>
      </c>
      <c r="C23" s="1025"/>
      <c r="D23" s="1047">
        <v>0.65</v>
      </c>
      <c r="E23" s="1024" t="s">
        <v>32</v>
      </c>
      <c r="F23" s="1024">
        <v>1</v>
      </c>
      <c r="G23" s="1024"/>
      <c r="H23" s="1024">
        <v>1</v>
      </c>
      <c r="I23" s="32">
        <f t="shared" si="0"/>
        <v>0.65</v>
      </c>
      <c r="J23" s="56"/>
      <c r="K23" s="56"/>
      <c r="L23" s="56"/>
      <c r="M23" s="56"/>
      <c r="N23" s="56"/>
      <c r="O23" s="276"/>
    </row>
    <row r="24" spans="1:15" x14ac:dyDescent="0.3">
      <c r="A24" s="1046">
        <v>100</v>
      </c>
      <c r="B24" s="1025" t="s">
        <v>159</v>
      </c>
      <c r="C24" s="1025" t="s">
        <v>542</v>
      </c>
      <c r="D24" s="1047">
        <v>0.04</v>
      </c>
      <c r="E24" s="1024" t="s">
        <v>161</v>
      </c>
      <c r="F24" s="1024">
        <v>18.2</v>
      </c>
      <c r="G24" s="1024" t="s">
        <v>264</v>
      </c>
      <c r="H24" s="1024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76"/>
    </row>
    <row r="25" spans="1:15" x14ac:dyDescent="0.3">
      <c r="A25" s="1046">
        <v>110</v>
      </c>
      <c r="B25" s="1025" t="s">
        <v>158</v>
      </c>
      <c r="C25" s="1025"/>
      <c r="D25" s="1047">
        <v>0.65</v>
      </c>
      <c r="E25" s="1024" t="s">
        <v>32</v>
      </c>
      <c r="F25" s="1024">
        <v>1</v>
      </c>
      <c r="G25" s="1024"/>
      <c r="H25" s="1024">
        <v>1</v>
      </c>
      <c r="I25" s="32">
        <f t="shared" si="0"/>
        <v>0.65</v>
      </c>
      <c r="J25" s="56"/>
      <c r="K25" s="56"/>
      <c r="L25" s="56"/>
      <c r="M25" s="56"/>
      <c r="N25" s="56"/>
      <c r="O25" s="276"/>
    </row>
    <row r="26" spans="1:15" x14ac:dyDescent="0.3">
      <c r="A26" s="1046">
        <v>120</v>
      </c>
      <c r="B26" s="1025" t="s">
        <v>159</v>
      </c>
      <c r="C26" s="1025" t="s">
        <v>543</v>
      </c>
      <c r="D26" s="1047">
        <v>0.04</v>
      </c>
      <c r="E26" s="1024" t="s">
        <v>161</v>
      </c>
      <c r="F26" s="1024">
        <v>17.600000000000001</v>
      </c>
      <c r="G26" s="1024" t="s">
        <v>264</v>
      </c>
      <c r="H26" s="1024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76"/>
    </row>
    <row r="27" spans="1:15" x14ac:dyDescent="0.3">
      <c r="A27" s="1046">
        <v>130</v>
      </c>
      <c r="B27" s="1025" t="s">
        <v>158</v>
      </c>
      <c r="C27" s="1025"/>
      <c r="D27" s="1047">
        <v>0.65</v>
      </c>
      <c r="E27" s="1024" t="s">
        <v>32</v>
      </c>
      <c r="F27" s="1024">
        <v>1</v>
      </c>
      <c r="G27" s="1024"/>
      <c r="H27" s="1024">
        <v>1</v>
      </c>
      <c r="I27" s="32">
        <f t="shared" si="0"/>
        <v>0.65</v>
      </c>
      <c r="J27" s="24"/>
      <c r="K27" s="24"/>
      <c r="L27" s="24"/>
      <c r="M27" s="24"/>
      <c r="N27" s="24"/>
      <c r="O27" s="276"/>
    </row>
    <row r="28" spans="1:15" x14ac:dyDescent="0.3">
      <c r="A28" s="1046">
        <v>140</v>
      </c>
      <c r="B28" s="1025" t="s">
        <v>159</v>
      </c>
      <c r="C28" s="1025" t="s">
        <v>544</v>
      </c>
      <c r="D28" s="1047">
        <v>0.04</v>
      </c>
      <c r="E28" s="1024" t="s">
        <v>161</v>
      </c>
      <c r="F28" s="1024">
        <v>5.8</v>
      </c>
      <c r="G28" s="1024" t="s">
        <v>264</v>
      </c>
      <c r="H28" s="1024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76"/>
    </row>
    <row r="29" spans="1:15" x14ac:dyDescent="0.3">
      <c r="A29" s="736"/>
      <c r="B29" s="24"/>
      <c r="C29" s="24"/>
      <c r="D29" s="24"/>
      <c r="E29" s="24"/>
      <c r="F29" s="24"/>
      <c r="G29" s="24"/>
      <c r="H29" s="111" t="s">
        <v>18</v>
      </c>
      <c r="I29" s="1034">
        <f>SUM(I15:I26)</f>
        <v>73.722000000000008</v>
      </c>
      <c r="J29" s="1035"/>
      <c r="K29" s="56"/>
      <c r="L29" s="56"/>
      <c r="M29" s="56"/>
      <c r="N29" s="56"/>
      <c r="O29" s="276"/>
    </row>
    <row r="30" spans="1:15" x14ac:dyDescent="0.3">
      <c r="A30" s="722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6"/>
    </row>
    <row r="31" spans="1:15" ht="15" thickBot="1" x14ac:dyDescent="0.35">
      <c r="A31" s="296"/>
      <c r="B31" s="297"/>
      <c r="C31" s="297"/>
      <c r="D31" s="297"/>
      <c r="E31" s="297"/>
      <c r="F31" s="297"/>
      <c r="G31" s="297"/>
      <c r="H31" s="297"/>
      <c r="I31" s="297"/>
      <c r="J31" s="297"/>
      <c r="K31" s="297"/>
      <c r="L31" s="297"/>
      <c r="M31" s="297"/>
      <c r="N31" s="297"/>
      <c r="O31" s="298"/>
    </row>
  </sheetData>
  <hyperlinks>
    <hyperlink ref="E3" location="dSU_10001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570</v>
      </c>
    </row>
  </sheetData>
  <hyperlinks>
    <hyperlink ref="B1" location="SU_10001" display="SU_10001"/>
  </hyperlinks>
  <pageMargins left="0.7" right="0.7" top="0.75" bottom="0.75" header="0.3" footer="0.3"/>
  <pageSetup paperSize="9" fitToHeight="0" orientation="portrait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workbookViewId="0">
      <selection activeCell="G2" sqref="G2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SU_10002_m+SU_10002_p</f>
        <v>2.5052785600000003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509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2.5052785600000003</v>
      </c>
      <c r="O5" s="62"/>
    </row>
    <row r="6" spans="1:15" x14ac:dyDescent="0.3">
      <c r="A6" s="1014" t="s">
        <v>7</v>
      </c>
      <c r="B6" s="28" t="s">
        <v>545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546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987" t="s">
        <v>547</v>
      </c>
      <c r="C11" s="988"/>
      <c r="D11" s="32">
        <v>4.2</v>
      </c>
      <c r="E11" s="1043">
        <f>J11*K11*L11</f>
        <v>5.1256800000000005E-2</v>
      </c>
      <c r="F11" s="988" t="s">
        <v>212</v>
      </c>
      <c r="G11" s="988"/>
      <c r="H11" s="990"/>
      <c r="I11" s="847" t="s">
        <v>548</v>
      </c>
      <c r="J11" s="1044">
        <f>0.07*0.045</f>
        <v>3.15E-3</v>
      </c>
      <c r="K11" s="1045">
        <v>6.0000000000000001E-3</v>
      </c>
      <c r="L11" s="1000">
        <v>2712</v>
      </c>
      <c r="M11" s="1001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24">
        <v>20</v>
      </c>
      <c r="B16" s="1025" t="s">
        <v>159</v>
      </c>
      <c r="C16" s="1025" t="s">
        <v>550</v>
      </c>
      <c r="D16" s="1047">
        <v>0.04</v>
      </c>
      <c r="E16" s="1024" t="s">
        <v>161</v>
      </c>
      <c r="F16" s="1024">
        <v>5.3</v>
      </c>
      <c r="G16" s="1024" t="s">
        <v>264</v>
      </c>
      <c r="H16" s="1024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24">
        <v>30</v>
      </c>
      <c r="B17" s="1025" t="s">
        <v>158</v>
      </c>
      <c r="C17" s="1025" t="s">
        <v>551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24">
        <v>40</v>
      </c>
      <c r="B18" s="1025" t="s">
        <v>159</v>
      </c>
      <c r="C18" s="1025" t="s">
        <v>550</v>
      </c>
      <c r="D18" s="1047">
        <v>0.04</v>
      </c>
      <c r="E18" s="1024" t="s">
        <v>161</v>
      </c>
      <c r="F18" s="1024">
        <v>3.2</v>
      </c>
      <c r="G18" s="1024" t="s">
        <v>264</v>
      </c>
      <c r="H18" s="1024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11" t="s">
        <v>18</v>
      </c>
      <c r="I19" s="1022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571</v>
      </c>
    </row>
  </sheetData>
  <hyperlinks>
    <hyperlink ref="B1" location="SU_10002" display="SU_10002"/>
  </hyperlinks>
  <pageMargins left="0.7" right="0.7" top="0.75" bottom="0.75" header="0.3" footer="0.3"/>
  <pageSetup paperSize="9" fitToHeight="0" orientation="portrait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workbookViewId="0"/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SU_10003_m+SU_10003_p</f>
        <v>18.677843750000001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283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510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18.677843750000001</v>
      </c>
      <c r="O5" s="276"/>
    </row>
    <row r="6" spans="1:15" x14ac:dyDescent="0.3">
      <c r="A6" s="1036" t="s">
        <v>7</v>
      </c>
      <c r="B6" s="28" t="s">
        <v>552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x14ac:dyDescent="0.3">
      <c r="A11" s="1039">
        <v>10</v>
      </c>
      <c r="B11" s="682" t="s">
        <v>554</v>
      </c>
      <c r="C11" s="20"/>
      <c r="D11" s="289">
        <v>2.25</v>
      </c>
      <c r="E11" s="1020">
        <f>J11*K11*L11</f>
        <v>1.236375</v>
      </c>
      <c r="F11" s="20" t="s">
        <v>212</v>
      </c>
      <c r="G11" s="20"/>
      <c r="H11" s="290"/>
      <c r="I11" s="21" t="s">
        <v>555</v>
      </c>
      <c r="J11" s="1021">
        <f>0.05*0.07</f>
        <v>3.5000000000000005E-3</v>
      </c>
      <c r="K11" s="685">
        <v>4.4999999999999998E-2</v>
      </c>
      <c r="L11" s="686">
        <v>7850</v>
      </c>
      <c r="M11" s="23">
        <v>1</v>
      </c>
      <c r="N11" s="289">
        <f>D11*E11</f>
        <v>2.7818437500000002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2.7818437500000002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x14ac:dyDescent="0.3">
      <c r="A15" s="1041">
        <v>10</v>
      </c>
      <c r="B15" s="673" t="s">
        <v>535</v>
      </c>
      <c r="C15" s="673" t="s">
        <v>536</v>
      </c>
      <c r="D15" s="285">
        <v>1.3</v>
      </c>
      <c r="E15" s="1013" t="s">
        <v>32</v>
      </c>
      <c r="F15" s="1013">
        <v>1</v>
      </c>
      <c r="G15" s="1013"/>
      <c r="H15" s="1013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1">
        <v>20</v>
      </c>
      <c r="B16" s="673" t="s">
        <v>159</v>
      </c>
      <c r="C16" s="673" t="s">
        <v>556</v>
      </c>
      <c r="D16" s="285">
        <v>0.04</v>
      </c>
      <c r="E16" s="1013" t="s">
        <v>161</v>
      </c>
      <c r="F16" s="1013">
        <v>85.4</v>
      </c>
      <c r="G16" s="1013" t="s">
        <v>413</v>
      </c>
      <c r="H16" s="1013">
        <v>3</v>
      </c>
      <c r="I16" s="289">
        <f>IF(H16="",D16*F16,D16*F16*H16)</f>
        <v>10.248000000000001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1">
        <v>30</v>
      </c>
      <c r="B17" s="673" t="s">
        <v>158</v>
      </c>
      <c r="C17" s="673" t="s">
        <v>538</v>
      </c>
      <c r="D17" s="285">
        <v>0.65</v>
      </c>
      <c r="E17" s="1013" t="s">
        <v>32</v>
      </c>
      <c r="F17" s="1013">
        <v>1</v>
      </c>
      <c r="G17" s="1013"/>
      <c r="H17" s="1013">
        <v>1</v>
      </c>
      <c r="I17" s="289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x14ac:dyDescent="0.3">
      <c r="A18" s="1041">
        <v>40</v>
      </c>
      <c r="B18" s="673" t="s">
        <v>159</v>
      </c>
      <c r="C18" s="673" t="s">
        <v>557</v>
      </c>
      <c r="D18" s="285">
        <v>0.04</v>
      </c>
      <c r="E18" s="1013" t="s">
        <v>161</v>
      </c>
      <c r="F18" s="1013">
        <v>25.2</v>
      </c>
      <c r="G18" s="1013" t="s">
        <v>413</v>
      </c>
      <c r="H18" s="1013">
        <v>3</v>
      </c>
      <c r="I18" s="289">
        <f>IF(H18="",D18*F18,D18*F18*H18)</f>
        <v>3.024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1">
        <v>50</v>
      </c>
      <c r="B19" s="673" t="s">
        <v>158</v>
      </c>
      <c r="C19" s="673" t="s">
        <v>538</v>
      </c>
      <c r="D19" s="285">
        <v>0.65</v>
      </c>
      <c r="E19" s="1013" t="s">
        <v>32</v>
      </c>
      <c r="F19" s="1013">
        <v>1</v>
      </c>
      <c r="G19" s="1013"/>
      <c r="H19" s="1013">
        <v>1</v>
      </c>
      <c r="I19" s="289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x14ac:dyDescent="0.3">
      <c r="A20" s="1041">
        <v>60</v>
      </c>
      <c r="B20" s="673" t="s">
        <v>159</v>
      </c>
      <c r="C20" s="673" t="s">
        <v>558</v>
      </c>
      <c r="D20" s="285">
        <v>0.04</v>
      </c>
      <c r="E20" s="1013" t="s">
        <v>161</v>
      </c>
      <c r="F20" s="1013">
        <v>0.2</v>
      </c>
      <c r="G20" s="1013" t="s">
        <v>413</v>
      </c>
      <c r="H20" s="1013">
        <v>3</v>
      </c>
      <c r="I20" s="289">
        <f>IF(H20="",D20*F20,D20*F20*H20)</f>
        <v>2.4E-2</v>
      </c>
      <c r="J20" s="57"/>
      <c r="K20" s="57"/>
      <c r="L20" s="57"/>
      <c r="M20" s="57"/>
      <c r="N20" s="57"/>
      <c r="O20" s="740"/>
    </row>
    <row r="21" spans="1:15" x14ac:dyDescent="0.3">
      <c r="A21" s="1041">
        <v>70</v>
      </c>
      <c r="B21" s="673" t="s">
        <v>158</v>
      </c>
      <c r="C21" s="673" t="s">
        <v>538</v>
      </c>
      <c r="D21" s="285">
        <v>0.65</v>
      </c>
      <c r="E21" s="1013" t="s">
        <v>32</v>
      </c>
      <c r="F21" s="1013">
        <v>1</v>
      </c>
      <c r="G21" s="1013"/>
      <c r="H21" s="1013">
        <v>1</v>
      </c>
      <c r="I21" s="289">
        <f t="shared" ref="I21" si="1">IF(H21="",D21*F21,D21*F21*H21)</f>
        <v>0.65</v>
      </c>
      <c r="J21" s="24"/>
      <c r="K21" s="24"/>
      <c r="L21" s="24"/>
      <c r="M21" s="24"/>
      <c r="N21" s="24"/>
      <c r="O21" s="276"/>
    </row>
    <row r="22" spans="1:15" x14ac:dyDescent="0.3">
      <c r="A22" s="1041">
        <v>80</v>
      </c>
      <c r="B22" s="673" t="s">
        <v>159</v>
      </c>
      <c r="C22" s="673" t="s">
        <v>559</v>
      </c>
      <c r="D22" s="285">
        <v>0.04</v>
      </c>
      <c r="E22" s="1013" t="s">
        <v>161</v>
      </c>
      <c r="F22" s="1013">
        <v>3.56</v>
      </c>
      <c r="G22" s="1013" t="s">
        <v>413</v>
      </c>
      <c r="H22" s="1011">
        <v>3</v>
      </c>
      <c r="I22" s="1056">
        <f>IF(H22="",D22*F22,D22*F22*H22)</f>
        <v>0.42720000000000002</v>
      </c>
      <c r="J22" s="56"/>
      <c r="K22" s="56"/>
      <c r="L22" s="56"/>
      <c r="M22" s="56"/>
      <c r="N22" s="56"/>
      <c r="O22" s="276"/>
    </row>
    <row r="23" spans="1:15" x14ac:dyDescent="0.3">
      <c r="A23" s="722"/>
      <c r="B23" s="56"/>
      <c r="C23" s="56"/>
      <c r="D23" s="56"/>
      <c r="E23" s="56"/>
      <c r="F23" s="56"/>
      <c r="G23" s="56"/>
      <c r="H23" s="108" t="s">
        <v>18</v>
      </c>
      <c r="I23" s="1057">
        <f>SUM(I15:I20)</f>
        <v>15.896000000000001</v>
      </c>
      <c r="J23" s="56"/>
      <c r="K23" s="56"/>
      <c r="L23" s="56"/>
      <c r="M23" s="56"/>
      <c r="N23" s="56"/>
      <c r="O23" s="276"/>
    </row>
    <row r="24" spans="1:15" ht="15" thickBot="1" x14ac:dyDescent="0.35">
      <c r="A24" s="296"/>
      <c r="B24" s="297"/>
      <c r="C24" s="297"/>
      <c r="D24" s="297"/>
      <c r="E24" s="297"/>
      <c r="F24" s="297"/>
      <c r="G24" s="297"/>
      <c r="H24" s="297"/>
      <c r="I24" s="297"/>
      <c r="J24" s="297"/>
      <c r="K24" s="297"/>
      <c r="L24" s="297"/>
      <c r="M24" s="297"/>
      <c r="N24" s="297"/>
      <c r="O24" s="298"/>
    </row>
  </sheetData>
  <hyperlinks>
    <hyperlink ref="E3" location="dSU_10003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572</v>
      </c>
    </row>
  </sheetData>
  <hyperlinks>
    <hyperlink ref="B1" location="SU_10003" display="SU_10003"/>
  </hyperlinks>
  <pageMargins left="0.7" right="0.7" top="0.75" bottom="0.75" header="0.3" footer="0.3"/>
  <pageSetup paperSize="9" fitToHeight="0" orientation="portrait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N3" sqref="N3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SU_10004_m+SU_10004_p</f>
        <v>0.83572750000000007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560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0.83572750000000007</v>
      </c>
      <c r="O5" s="62"/>
    </row>
    <row r="6" spans="1:15" x14ac:dyDescent="0.3">
      <c r="A6" s="1014" t="s">
        <v>7</v>
      </c>
      <c r="B6" s="28" t="s">
        <v>561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5" customFormat="1" ht="28.8" x14ac:dyDescent="0.3">
      <c r="A11" s="1048">
        <v>10</v>
      </c>
      <c r="B11" s="987" t="s">
        <v>375</v>
      </c>
      <c r="C11" s="988"/>
      <c r="D11" s="32">
        <v>2.25</v>
      </c>
      <c r="E11" s="1043">
        <f>J11*K11*L11</f>
        <v>1.099E-2</v>
      </c>
      <c r="F11" s="988" t="s">
        <v>212</v>
      </c>
      <c r="G11" s="988"/>
      <c r="H11" s="990"/>
      <c r="I11" s="847" t="s">
        <v>563</v>
      </c>
      <c r="J11" s="1044">
        <f>(35*40*10^(-6))</f>
        <v>1.4E-3</v>
      </c>
      <c r="K11" s="1045">
        <v>1E-3</v>
      </c>
      <c r="L11" s="1000">
        <v>7850</v>
      </c>
      <c r="M11" s="1001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16.100000000000001</v>
      </c>
      <c r="G16" s="681"/>
      <c r="H16" s="1049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24">
        <v>30</v>
      </c>
      <c r="B17" s="1025" t="s">
        <v>565</v>
      </c>
      <c r="C17" s="1025"/>
      <c r="D17" s="1026">
        <v>0.25</v>
      </c>
      <c r="E17" s="1024" t="s">
        <v>566</v>
      </c>
      <c r="F17" s="1024">
        <v>2</v>
      </c>
      <c r="G17" s="1024"/>
      <c r="H17" s="1024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22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G2" sqref="G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1.1551782399999999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4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95" t="s">
        <v>192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4.6207129599999996</v>
      </c>
      <c r="O5" s="357"/>
    </row>
    <row r="6" spans="1:15" x14ac:dyDescent="0.3">
      <c r="A6" s="350" t="s">
        <v>7</v>
      </c>
      <c r="B6" s="362" t="s">
        <v>194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0.14197824000000003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1.0131999999999999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573</v>
      </c>
    </row>
  </sheetData>
  <hyperlinks>
    <hyperlink ref="B1" location="SU_10004" display="SU_10004"/>
  </hyperlinks>
  <pageMargins left="0.7" right="0.7" top="0.75" bottom="0.75" header="0.3" footer="0.3"/>
  <pageSetup paperSize="9" fitToHeight="0" orientation="portrait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G2" sqref="G2"/>
    </sheetView>
  </sheetViews>
  <sheetFormatPr baseColWidth="10" defaultColWidth="9.109375" defaultRowHeight="14.4" x14ac:dyDescent="0.3"/>
  <cols>
    <col min="2" max="2" width="19.109375" customWidth="1"/>
    <col min="7" max="7" width="11.55468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SU_10005_m+SU_10005_p</f>
        <v>0.42691833333333334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15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512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6.4037750000000004</v>
      </c>
      <c r="O5" s="62"/>
    </row>
    <row r="6" spans="1:15" x14ac:dyDescent="0.3">
      <c r="A6" s="1014" t="s">
        <v>7</v>
      </c>
      <c r="B6" s="28" t="s">
        <v>567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783" t="s">
        <v>375</v>
      </c>
      <c r="C11" s="1024"/>
      <c r="D11" s="1047">
        <v>2.25</v>
      </c>
      <c r="E11" s="1043">
        <f>J11*K11*L11</f>
        <v>2.826E-2</v>
      </c>
      <c r="F11" s="988" t="s">
        <v>212</v>
      </c>
      <c r="G11" s="988"/>
      <c r="H11" s="990"/>
      <c r="I11" s="847" t="s">
        <v>569</v>
      </c>
      <c r="J11" s="1044">
        <f>0.08*0.045</f>
        <v>3.5999999999999999E-3</v>
      </c>
      <c r="K11" s="1045">
        <v>1E-3</v>
      </c>
      <c r="L11" s="1000">
        <v>7850</v>
      </c>
      <c r="M11" s="1001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32</v>
      </c>
      <c r="G16" s="1024"/>
      <c r="H16" s="1024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22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574</v>
      </c>
    </row>
  </sheetData>
  <hyperlinks>
    <hyperlink ref="B1" location="SU_10005" display="SU_10005"/>
  </hyperlinks>
  <pageMargins left="0.7" right="0.7" top="0.75" bottom="0.75" header="0.3" footer="0.3"/>
  <pageSetup paperSize="9" fitToHeight="0" orientation="portrait" r:id="rId1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7"/>
  <sheetViews>
    <sheetView zoomScaleNormal="10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5.77734375" customWidth="1"/>
    <col min="3" max="3" width="39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50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1006" t="s">
        <v>1</v>
      </c>
      <c r="K2" s="83">
        <v>81</v>
      </c>
      <c r="L2" s="56"/>
      <c r="M2" s="1006" t="s">
        <v>2</v>
      </c>
      <c r="N2" s="95">
        <f>E14+I30+J34</f>
        <v>155.5004639182512</v>
      </c>
      <c r="O2" s="276"/>
    </row>
    <row r="3" spans="1:15" x14ac:dyDescent="0.3">
      <c r="A3" s="1050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1006" t="s">
        <v>4</v>
      </c>
      <c r="N3" s="82">
        <v>2</v>
      </c>
      <c r="O3" s="276"/>
    </row>
    <row r="4" spans="1:15" x14ac:dyDescent="0.3">
      <c r="A4" s="1050" t="s">
        <v>5</v>
      </c>
      <c r="B4" s="57" t="s">
        <v>595</v>
      </c>
      <c r="C4" s="56"/>
      <c r="D4" s="56"/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76"/>
    </row>
    <row r="5" spans="1:15" x14ac:dyDescent="0.3">
      <c r="A5" s="1050" t="s">
        <v>7</v>
      </c>
      <c r="B5" s="18" t="s">
        <v>596</v>
      </c>
      <c r="C5" s="56"/>
      <c r="D5" s="56"/>
      <c r="E5" s="56"/>
      <c r="F5" s="56"/>
      <c r="G5" s="56"/>
      <c r="H5" s="56"/>
      <c r="I5" s="56"/>
      <c r="J5" s="1007" t="s">
        <v>8</v>
      </c>
      <c r="K5" s="56"/>
      <c r="L5" s="56"/>
      <c r="M5" s="1006" t="s">
        <v>9</v>
      </c>
      <c r="N5" s="74">
        <f>N2*N3</f>
        <v>311.0009278365024</v>
      </c>
      <c r="O5" s="276"/>
    </row>
    <row r="6" spans="1:15" x14ac:dyDescent="0.3">
      <c r="A6" s="105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76"/>
    </row>
    <row r="7" spans="1:15" x14ac:dyDescent="0.3">
      <c r="A7" s="1050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50" t="s">
        <v>14</v>
      </c>
      <c r="B9" s="1006" t="s">
        <v>15</v>
      </c>
      <c r="C9" s="1006" t="s">
        <v>16</v>
      </c>
      <c r="D9" s="1006" t="s">
        <v>17</v>
      </c>
      <c r="E9" s="1006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31">
        <v>10</v>
      </c>
      <c r="B10" s="86" t="str">
        <f>'SU 11001'!B5</f>
        <v>Rear Upright</v>
      </c>
      <c r="C10" s="74">
        <f>'SU 11001'!N2</f>
        <v>106.51997000000001</v>
      </c>
      <c r="D10" s="1008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31">
        <v>20</v>
      </c>
      <c r="B11" s="88" t="s">
        <v>510</v>
      </c>
      <c r="C11" s="74">
        <f>'SU 11002'!N2</f>
        <v>21.194420000000001</v>
      </c>
      <c r="D11" s="1008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29"/>
    </row>
    <row r="12" spans="1:15" s="17" customFormat="1" x14ac:dyDescent="0.3">
      <c r="A12" s="731">
        <v>30</v>
      </c>
      <c r="B12" s="86" t="s">
        <v>511</v>
      </c>
      <c r="C12" s="74">
        <f>'SU 11003'!N2</f>
        <v>0.82576020000000006</v>
      </c>
      <c r="D12" s="1008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s="17" customFormat="1" x14ac:dyDescent="0.3">
      <c r="A13" s="731">
        <v>40</v>
      </c>
      <c r="B13" s="86" t="s">
        <v>512</v>
      </c>
      <c r="C13" s="74">
        <f>'SU 11004'!N2</f>
        <v>0.42454853333333331</v>
      </c>
      <c r="D13" s="1008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40"/>
    </row>
    <row r="14" spans="1:15" x14ac:dyDescent="0.3">
      <c r="A14" s="722"/>
      <c r="B14" s="56"/>
      <c r="C14" s="56"/>
      <c r="D14" s="101" t="s">
        <v>18</v>
      </c>
      <c r="E14" s="1010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2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76"/>
    </row>
    <row r="17" spans="1:19" x14ac:dyDescent="0.3">
      <c r="A17" s="1050" t="s">
        <v>14</v>
      </c>
      <c r="B17" s="1006" t="s">
        <v>31</v>
      </c>
      <c r="C17" s="1006" t="s">
        <v>20</v>
      </c>
      <c r="D17" s="1006" t="s">
        <v>21</v>
      </c>
      <c r="E17" s="1006" t="s">
        <v>32</v>
      </c>
      <c r="F17" s="1006" t="s">
        <v>17</v>
      </c>
      <c r="G17" s="1006" t="s">
        <v>33</v>
      </c>
      <c r="H17" s="1006" t="s">
        <v>34</v>
      </c>
      <c r="I17" s="1006" t="s">
        <v>18</v>
      </c>
      <c r="J17" s="24"/>
      <c r="K17" s="24"/>
      <c r="L17" s="24"/>
      <c r="M17" s="24"/>
      <c r="N17" s="24"/>
      <c r="O17" s="737"/>
    </row>
    <row r="18" spans="1:19" s="22" customFormat="1" x14ac:dyDescent="0.3">
      <c r="A18" s="1052">
        <v>10</v>
      </c>
      <c r="B18" s="1025" t="s">
        <v>513</v>
      </c>
      <c r="C18" s="1025" t="s">
        <v>514</v>
      </c>
      <c r="D18" s="1029">
        <v>0.56000000000000005</v>
      </c>
      <c r="E18" s="1024" t="s">
        <v>35</v>
      </c>
      <c r="F18" s="1024">
        <v>1</v>
      </c>
      <c r="G18" s="1024"/>
      <c r="H18" s="1024">
        <v>1</v>
      </c>
      <c r="I18" s="1066">
        <f t="shared" ref="I18:I26" si="0">IF(H18="",D18*F18,D18*F18*H18)</f>
        <v>0.56000000000000005</v>
      </c>
      <c r="J18" s="56"/>
      <c r="K18" s="56"/>
      <c r="L18" s="56"/>
      <c r="M18" s="56"/>
      <c r="N18" s="56"/>
      <c r="O18" s="276"/>
    </row>
    <row r="19" spans="1:19" ht="28.8" x14ac:dyDescent="0.3">
      <c r="A19" s="1046">
        <v>20</v>
      </c>
      <c r="B19" s="1025" t="s">
        <v>515</v>
      </c>
      <c r="C19" s="1025" t="s">
        <v>517</v>
      </c>
      <c r="D19" s="1026">
        <v>0.13</v>
      </c>
      <c r="E19" s="1024" t="s">
        <v>35</v>
      </c>
      <c r="F19" s="1024">
        <v>1</v>
      </c>
      <c r="G19" s="1024"/>
      <c r="H19" s="1024">
        <v>1</v>
      </c>
      <c r="I19" s="1066">
        <f t="shared" si="0"/>
        <v>0.13</v>
      </c>
      <c r="J19" s="56"/>
      <c r="K19" s="56"/>
      <c r="L19" s="56"/>
      <c r="M19" s="56"/>
      <c r="N19" s="56"/>
      <c r="O19" s="276"/>
    </row>
    <row r="20" spans="1:19" x14ac:dyDescent="0.3">
      <c r="A20" s="1046">
        <v>30</v>
      </c>
      <c r="B20" s="1025" t="s">
        <v>515</v>
      </c>
      <c r="C20" s="1025" t="s">
        <v>518</v>
      </c>
      <c r="D20" s="1026">
        <v>0.13</v>
      </c>
      <c r="E20" s="1024" t="s">
        <v>35</v>
      </c>
      <c r="F20" s="1024">
        <v>1</v>
      </c>
      <c r="G20" s="1024"/>
      <c r="H20" s="1024">
        <v>1</v>
      </c>
      <c r="I20" s="1066">
        <f t="shared" si="0"/>
        <v>0.13</v>
      </c>
      <c r="J20" s="57"/>
      <c r="K20" s="57"/>
      <c r="L20" s="57"/>
      <c r="M20" s="57"/>
      <c r="N20" s="57"/>
      <c r="O20" s="740"/>
    </row>
    <row r="21" spans="1:19" s="25" customFormat="1" x14ac:dyDescent="0.3">
      <c r="A21" s="1052">
        <v>40</v>
      </c>
      <c r="B21" s="1025" t="s">
        <v>366</v>
      </c>
      <c r="C21" s="1025" t="s">
        <v>575</v>
      </c>
      <c r="D21" s="1026">
        <v>0.75</v>
      </c>
      <c r="E21" s="1024" t="s">
        <v>35</v>
      </c>
      <c r="F21" s="1024">
        <v>3</v>
      </c>
      <c r="G21" s="1024"/>
      <c r="H21" s="1024">
        <v>1</v>
      </c>
      <c r="I21" s="1066">
        <f t="shared" si="0"/>
        <v>2.25</v>
      </c>
      <c r="J21" s="57"/>
      <c r="K21" s="57"/>
      <c r="L21" s="57"/>
      <c r="M21" s="57"/>
      <c r="N21" s="57"/>
      <c r="O21" s="737"/>
    </row>
    <row r="22" spans="1:19" x14ac:dyDescent="0.3">
      <c r="A22" s="1046">
        <v>50</v>
      </c>
      <c r="B22" s="1067" t="s">
        <v>520</v>
      </c>
      <c r="C22" s="1025" t="s">
        <v>575</v>
      </c>
      <c r="D22" s="1068">
        <v>0.25</v>
      </c>
      <c r="E22" s="1028" t="s">
        <v>32</v>
      </c>
      <c r="F22" s="1028">
        <v>3</v>
      </c>
      <c r="G22" s="1024"/>
      <c r="H22" s="1024">
        <v>1</v>
      </c>
      <c r="I22" s="1066">
        <f t="shared" si="0"/>
        <v>0.75</v>
      </c>
      <c r="J22" s="57"/>
      <c r="K22" s="57"/>
      <c r="L22" s="57"/>
      <c r="M22" s="57"/>
      <c r="N22" s="57"/>
      <c r="O22" s="737"/>
    </row>
    <row r="23" spans="1:19" x14ac:dyDescent="0.3">
      <c r="A23" s="1046">
        <v>60</v>
      </c>
      <c r="B23" s="1025" t="s">
        <v>515</v>
      </c>
      <c r="C23" s="1025" t="s">
        <v>521</v>
      </c>
      <c r="D23" s="1026">
        <v>0.13</v>
      </c>
      <c r="E23" s="1024" t="s">
        <v>522</v>
      </c>
      <c r="F23" s="1024">
        <v>1</v>
      </c>
      <c r="G23" s="1024"/>
      <c r="H23" s="1024">
        <v>1</v>
      </c>
      <c r="I23" s="1066">
        <f t="shared" si="0"/>
        <v>0.13</v>
      </c>
      <c r="J23" s="57"/>
      <c r="K23" s="57"/>
      <c r="L23" s="57"/>
      <c r="M23" s="57"/>
      <c r="N23" s="57"/>
      <c r="O23" s="740"/>
    </row>
    <row r="24" spans="1:19" s="25" customFormat="1" x14ac:dyDescent="0.3">
      <c r="A24" s="1052">
        <v>70</v>
      </c>
      <c r="B24" s="1025" t="s">
        <v>366</v>
      </c>
      <c r="C24" s="1025" t="s">
        <v>576</v>
      </c>
      <c r="D24" s="1026">
        <v>0.75</v>
      </c>
      <c r="E24" s="1024" t="s">
        <v>35</v>
      </c>
      <c r="F24" s="1024">
        <v>1</v>
      </c>
      <c r="G24" s="1024"/>
      <c r="H24" s="1024">
        <v>1</v>
      </c>
      <c r="I24" s="1066">
        <f t="shared" si="0"/>
        <v>0.75</v>
      </c>
      <c r="J24" s="57"/>
      <c r="K24" s="57"/>
      <c r="L24" s="57"/>
      <c r="M24" s="57"/>
      <c r="N24" s="57"/>
      <c r="O24" s="737"/>
    </row>
    <row r="25" spans="1:19" x14ac:dyDescent="0.3">
      <c r="A25" s="1046">
        <v>80</v>
      </c>
      <c r="B25" s="1067" t="s">
        <v>520</v>
      </c>
      <c r="C25" s="1025" t="s">
        <v>576</v>
      </c>
      <c r="D25" s="1068">
        <v>0.25</v>
      </c>
      <c r="E25" s="1028" t="s">
        <v>32</v>
      </c>
      <c r="F25" s="1028">
        <v>1</v>
      </c>
      <c r="G25" s="1024"/>
      <c r="H25" s="1024">
        <v>1</v>
      </c>
      <c r="I25" s="1066">
        <f t="shared" si="0"/>
        <v>0.25</v>
      </c>
      <c r="J25" s="57"/>
      <c r="K25" s="57"/>
      <c r="L25" s="57"/>
      <c r="M25" s="57"/>
      <c r="N25" s="57"/>
      <c r="O25" s="737"/>
    </row>
    <row r="26" spans="1:19" x14ac:dyDescent="0.3">
      <c r="A26" s="1052">
        <v>90</v>
      </c>
      <c r="B26" s="1025" t="s">
        <v>523</v>
      </c>
      <c r="C26" s="1025" t="s">
        <v>524</v>
      </c>
      <c r="D26" s="1029">
        <v>0.63</v>
      </c>
      <c r="E26" s="1024" t="s">
        <v>35</v>
      </c>
      <c r="F26" s="1024">
        <v>1</v>
      </c>
      <c r="G26" s="1024"/>
      <c r="H26" s="1024">
        <v>1</v>
      </c>
      <c r="I26" s="1066">
        <f t="shared" si="0"/>
        <v>0.63</v>
      </c>
      <c r="J26" s="56"/>
      <c r="K26" s="56"/>
      <c r="L26" s="56"/>
      <c r="M26" s="56"/>
      <c r="N26" s="56"/>
      <c r="O26" s="276"/>
    </row>
    <row r="27" spans="1:19" s="17" customFormat="1" x14ac:dyDescent="0.3">
      <c r="A27" s="1046">
        <v>100</v>
      </c>
      <c r="B27" s="1025" t="s">
        <v>366</v>
      </c>
      <c r="C27" s="1025" t="s">
        <v>525</v>
      </c>
      <c r="D27" s="1026">
        <v>0.75</v>
      </c>
      <c r="E27" s="1024" t="s">
        <v>32</v>
      </c>
      <c r="F27" s="1024">
        <v>2</v>
      </c>
      <c r="G27" s="1024"/>
      <c r="H27" s="1024">
        <v>1</v>
      </c>
      <c r="I27" s="1026">
        <f t="shared" ref="I27" si="1">D27*F27*H27</f>
        <v>1.5</v>
      </c>
      <c r="J27" s="649"/>
      <c r="K27" s="649"/>
      <c r="L27" s="649"/>
      <c r="M27" s="649"/>
      <c r="N27" s="649"/>
      <c r="O27" s="1053"/>
      <c r="P27" s="649"/>
      <c r="Q27" s="649"/>
      <c r="R27" s="649"/>
      <c r="S27" s="649"/>
    </row>
    <row r="28" spans="1:19" s="25" customFormat="1" x14ac:dyDescent="0.3">
      <c r="A28" s="1046">
        <v>110</v>
      </c>
      <c r="B28" s="1025" t="s">
        <v>520</v>
      </c>
      <c r="C28" s="1025" t="s">
        <v>525</v>
      </c>
      <c r="D28" s="1026">
        <v>0.25</v>
      </c>
      <c r="E28" s="1024" t="s">
        <v>32</v>
      </c>
      <c r="F28" s="1024">
        <v>2</v>
      </c>
      <c r="G28" s="1024"/>
      <c r="H28" s="1024">
        <v>1</v>
      </c>
      <c r="I28" s="1026">
        <f>D28*F28*H28</f>
        <v>0.5</v>
      </c>
      <c r="J28" s="649"/>
      <c r="K28" s="649"/>
      <c r="L28" s="649"/>
      <c r="M28" s="649"/>
      <c r="N28" s="649"/>
      <c r="O28" s="1053"/>
      <c r="P28" s="649"/>
      <c r="Q28" s="649"/>
      <c r="R28" s="649"/>
      <c r="S28" s="649"/>
    </row>
    <row r="29" spans="1:19" s="17" customFormat="1" ht="43.2" x14ac:dyDescent="0.3">
      <c r="A29" s="1046">
        <v>120</v>
      </c>
      <c r="B29" s="288" t="s">
        <v>526</v>
      </c>
      <c r="C29" s="1024" t="s">
        <v>527</v>
      </c>
      <c r="D29" s="1030">
        <v>8.75</v>
      </c>
      <c r="E29" s="1024" t="s">
        <v>32</v>
      </c>
      <c r="F29" s="1024">
        <v>1</v>
      </c>
      <c r="G29" s="1024"/>
      <c r="H29" s="1024">
        <v>1</v>
      </c>
      <c r="I29" s="1030">
        <f>D29*F29*H29</f>
        <v>8.75</v>
      </c>
      <c r="J29" s="649"/>
      <c r="K29" s="649"/>
      <c r="L29" s="649"/>
      <c r="M29" s="649"/>
      <c r="N29" s="649"/>
      <c r="O29" s="1053"/>
      <c r="P29" s="649"/>
      <c r="Q29" s="649"/>
      <c r="R29" s="649"/>
      <c r="S29" s="649"/>
    </row>
    <row r="30" spans="1:19" x14ac:dyDescent="0.3">
      <c r="A30" s="736"/>
      <c r="B30" s="24"/>
      <c r="C30" s="24"/>
      <c r="D30" s="24"/>
      <c r="E30" s="24"/>
      <c r="F30" s="24"/>
      <c r="G30" s="24"/>
      <c r="H30" s="101" t="s">
        <v>18</v>
      </c>
      <c r="I30" s="1010">
        <f>SUM(I18:I29)</f>
        <v>16.329999999999998</v>
      </c>
      <c r="J30" s="56"/>
      <c r="K30" s="56"/>
      <c r="L30" s="56"/>
      <c r="M30" s="56"/>
      <c r="N30" s="56"/>
      <c r="O30" s="276"/>
      <c r="P30" s="17"/>
      <c r="Q30" s="17"/>
      <c r="R30" s="17"/>
      <c r="S30" s="17"/>
    </row>
    <row r="31" spans="1:19" x14ac:dyDescent="0.3">
      <c r="A31" s="722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76"/>
      <c r="P31" s="25"/>
      <c r="Q31" s="25"/>
      <c r="R31" s="25"/>
      <c r="S31" s="25"/>
    </row>
    <row r="32" spans="1:19" x14ac:dyDescent="0.3">
      <c r="A32" s="1050" t="s">
        <v>14</v>
      </c>
      <c r="B32" s="1006" t="s">
        <v>36</v>
      </c>
      <c r="C32" s="1006" t="s">
        <v>20</v>
      </c>
      <c r="D32" s="1006" t="s">
        <v>21</v>
      </c>
      <c r="E32" s="1006" t="s">
        <v>22</v>
      </c>
      <c r="F32" s="1006" t="s">
        <v>23</v>
      </c>
      <c r="G32" s="1006" t="s">
        <v>24</v>
      </c>
      <c r="H32" s="1006" t="s">
        <v>25</v>
      </c>
      <c r="I32" s="1006" t="s">
        <v>17</v>
      </c>
      <c r="J32" s="1006" t="s">
        <v>18</v>
      </c>
      <c r="K32" s="56"/>
      <c r="L32" s="56"/>
      <c r="M32" s="56"/>
      <c r="N32" s="56"/>
      <c r="O32" s="276"/>
      <c r="P32" s="17"/>
      <c r="Q32" s="17"/>
      <c r="R32" s="17"/>
      <c r="S32" s="17"/>
    </row>
    <row r="33" spans="1:15" x14ac:dyDescent="0.3">
      <c r="A33" s="1041">
        <v>10</v>
      </c>
      <c r="B33" s="783" t="s">
        <v>528</v>
      </c>
      <c r="C33" s="1013" t="s">
        <v>529</v>
      </c>
      <c r="D33" s="284">
        <f>1.25/105154*E33^2*G33*SQRT(G33)+(0.005*EXP(0.319*E33))</f>
        <v>1.0655214295627982</v>
      </c>
      <c r="E33" s="1013">
        <v>12</v>
      </c>
      <c r="F33" s="1063" t="s">
        <v>30</v>
      </c>
      <c r="G33" s="1013">
        <v>62</v>
      </c>
      <c r="H33" s="673" t="s">
        <v>30</v>
      </c>
      <c r="I33" s="1064">
        <v>4</v>
      </c>
      <c r="J33" s="284">
        <f>D33*I33</f>
        <v>4.2620857182511926</v>
      </c>
      <c r="K33" s="56"/>
      <c r="L33" s="56"/>
      <c r="M33" s="56"/>
      <c r="N33" s="56"/>
      <c r="O33" s="276"/>
    </row>
    <row r="34" spans="1:15" x14ac:dyDescent="0.3">
      <c r="A34" s="736"/>
      <c r="B34" s="24"/>
      <c r="C34" s="24"/>
      <c r="D34" s="24"/>
      <c r="E34" s="24"/>
      <c r="F34" s="24"/>
      <c r="G34" s="24"/>
      <c r="H34" s="24"/>
      <c r="I34" s="101" t="s">
        <v>18</v>
      </c>
      <c r="J34" s="1010">
        <f>SUM(J33:J33)</f>
        <v>4.2620857182511926</v>
      </c>
      <c r="K34" s="56"/>
      <c r="L34" s="56"/>
      <c r="M34" s="56"/>
      <c r="N34" s="56"/>
      <c r="O34" s="276"/>
    </row>
    <row r="35" spans="1:15" x14ac:dyDescent="0.3">
      <c r="A35" s="722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56"/>
      <c r="N35" s="56"/>
      <c r="O35" s="276"/>
    </row>
    <row r="36" spans="1:15" ht="15" thickBot="1" x14ac:dyDescent="0.35">
      <c r="A36" s="296"/>
      <c r="B36" s="297"/>
      <c r="C36" s="297"/>
      <c r="D36" s="297"/>
      <c r="E36" s="297"/>
      <c r="F36" s="297"/>
      <c r="G36" s="297"/>
      <c r="H36" s="297"/>
      <c r="I36" s="297"/>
      <c r="J36" s="297"/>
      <c r="K36" s="297"/>
      <c r="L36" s="297"/>
      <c r="M36" s="297"/>
      <c r="N36" s="297"/>
      <c r="O36" s="298"/>
    </row>
    <row r="37" spans="1:15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</row>
  </sheetData>
  <hyperlinks>
    <hyperlink ref="B10" location="SU_11001" display="SU_11001"/>
    <hyperlink ref="B12" location="SU_11003" display="Speed Sensor Brakcet"/>
    <hyperlink ref="B13" location="SU_11004" display="Camber adjustment shim"/>
    <hyperlink ref="B11" location="SU_11002" display="Upper Arm Bracket"/>
    <hyperlink ref="E2" location="SU_A11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4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19.5546875" customWidth="1"/>
    <col min="3" max="3" width="20.21875" customWidth="1"/>
    <col min="7" max="7" width="18.33203125" customWidth="1"/>
    <col min="9" max="9" width="9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SU_11001_m+SU_11001_p</f>
        <v>106.51997000000001</v>
      </c>
      <c r="O2" s="276"/>
    </row>
    <row r="3" spans="1:15" x14ac:dyDescent="0.3">
      <c r="A3" s="1036" t="s">
        <v>3</v>
      </c>
      <c r="B3" s="16" t="str">
        <f>'SU A1100 '!B3</f>
        <v>Wheels &amp; Tires</v>
      </c>
      <c r="C3" s="56"/>
      <c r="D3" s="1014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A1100 '!B4</f>
        <v>Rear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577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106.51997000000001</v>
      </c>
      <c r="O5" s="276"/>
    </row>
    <row r="6" spans="1:15" x14ac:dyDescent="0.3">
      <c r="A6" s="1036" t="s">
        <v>7</v>
      </c>
      <c r="B6" s="28" t="s">
        <v>578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x14ac:dyDescent="0.3">
      <c r="A11" s="1039">
        <v>10</v>
      </c>
      <c r="B11" s="682" t="s">
        <v>533</v>
      </c>
      <c r="C11" s="20"/>
      <c r="D11" s="289">
        <v>4.2</v>
      </c>
      <c r="E11" s="1020">
        <f>J11*K11*L11</f>
        <v>6.1528499999999999</v>
      </c>
      <c r="F11" s="20" t="s">
        <v>212</v>
      </c>
      <c r="G11" s="20"/>
      <c r="H11" s="290"/>
      <c r="I11" s="21" t="s">
        <v>534</v>
      </c>
      <c r="J11" s="1021">
        <f>(165*275*10^-6)</f>
        <v>4.5374999999999999E-2</v>
      </c>
      <c r="K11" s="685">
        <v>0.05</v>
      </c>
      <c r="L11" s="686">
        <v>2712</v>
      </c>
      <c r="M11" s="23">
        <v>1</v>
      </c>
      <c r="N11" s="289">
        <f>D11*E11</f>
        <v>25.84197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25.84197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ht="28.8" x14ac:dyDescent="0.3">
      <c r="A15" s="1046">
        <v>10</v>
      </c>
      <c r="B15" s="1025" t="s">
        <v>535</v>
      </c>
      <c r="C15" s="1025" t="s">
        <v>536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37"/>
    </row>
    <row r="16" spans="1:15" ht="28.8" x14ac:dyDescent="0.3">
      <c r="A16" s="1046">
        <v>20</v>
      </c>
      <c r="B16" s="1025" t="s">
        <v>159</v>
      </c>
      <c r="C16" s="1025" t="s">
        <v>579</v>
      </c>
      <c r="D16" s="1047">
        <v>0.04</v>
      </c>
      <c r="E16" s="1024" t="s">
        <v>161</v>
      </c>
      <c r="F16" s="1024">
        <v>350</v>
      </c>
      <c r="G16" s="1024" t="s">
        <v>264</v>
      </c>
      <c r="H16" s="1024">
        <v>1</v>
      </c>
      <c r="I16" s="32">
        <f t="shared" si="0"/>
        <v>14</v>
      </c>
      <c r="J16" s="56"/>
      <c r="K16" s="56"/>
      <c r="L16" s="56"/>
      <c r="M16" s="56"/>
      <c r="N16" s="56"/>
      <c r="O16" s="276"/>
    </row>
    <row r="17" spans="1:15" s="17" customFormat="1" ht="28.8" x14ac:dyDescent="0.3">
      <c r="A17" s="1046">
        <v>30</v>
      </c>
      <c r="B17" s="1025" t="s">
        <v>158</v>
      </c>
      <c r="C17" s="1025" t="s">
        <v>538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x14ac:dyDescent="0.3">
      <c r="A18" s="1046">
        <v>40</v>
      </c>
      <c r="B18" s="1025" t="s">
        <v>159</v>
      </c>
      <c r="C18" s="1025" t="s">
        <v>580</v>
      </c>
      <c r="D18" s="1047">
        <v>0.04</v>
      </c>
      <c r="E18" s="1024" t="s">
        <v>161</v>
      </c>
      <c r="F18" s="1024">
        <v>1285</v>
      </c>
      <c r="G18" s="1024" t="s">
        <v>264</v>
      </c>
      <c r="H18" s="1024">
        <v>1</v>
      </c>
      <c r="I18" s="32">
        <f t="shared" si="0"/>
        <v>51.4</v>
      </c>
      <c r="J18" s="57"/>
      <c r="K18" s="57"/>
      <c r="L18" s="57"/>
      <c r="M18" s="57"/>
      <c r="N18" s="57"/>
      <c r="O18" s="740"/>
    </row>
    <row r="19" spans="1:15" s="17" customFormat="1" ht="28.8" x14ac:dyDescent="0.3">
      <c r="A19" s="1046">
        <v>50</v>
      </c>
      <c r="B19" s="1025" t="s">
        <v>158</v>
      </c>
      <c r="C19" s="1025"/>
      <c r="D19" s="1047">
        <v>0.65</v>
      </c>
      <c r="E19" s="1024" t="s">
        <v>32</v>
      </c>
      <c r="F19" s="1024">
        <v>1</v>
      </c>
      <c r="G19" s="1024"/>
      <c r="H19" s="1024">
        <v>1</v>
      </c>
      <c r="I19" s="32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ht="28.8" x14ac:dyDescent="0.3">
      <c r="A20" s="1046">
        <v>60</v>
      </c>
      <c r="B20" s="1025" t="s">
        <v>159</v>
      </c>
      <c r="C20" s="1025" t="s">
        <v>581</v>
      </c>
      <c r="D20" s="1047">
        <v>0.04</v>
      </c>
      <c r="E20" s="1024" t="s">
        <v>161</v>
      </c>
      <c r="F20" s="1024">
        <v>227</v>
      </c>
      <c r="G20" s="1024" t="s">
        <v>264</v>
      </c>
      <c r="H20" s="1024">
        <v>1</v>
      </c>
      <c r="I20" s="32">
        <f t="shared" si="0"/>
        <v>9.08</v>
      </c>
      <c r="J20" s="57"/>
      <c r="K20" s="57"/>
      <c r="L20" s="57"/>
      <c r="M20" s="57"/>
      <c r="N20" s="57"/>
      <c r="O20" s="740"/>
    </row>
    <row r="21" spans="1:15" s="17" customFormat="1" ht="28.8" x14ac:dyDescent="0.3">
      <c r="A21" s="1046">
        <v>70</v>
      </c>
      <c r="B21" s="1025" t="s">
        <v>158</v>
      </c>
      <c r="C21" s="1025"/>
      <c r="D21" s="1047">
        <v>0.65</v>
      </c>
      <c r="E21" s="1024" t="s">
        <v>32</v>
      </c>
      <c r="F21" s="1024">
        <v>1</v>
      </c>
      <c r="G21" s="1024"/>
      <c r="H21" s="1024">
        <v>1</v>
      </c>
      <c r="I21" s="32">
        <f t="shared" si="0"/>
        <v>0.65</v>
      </c>
      <c r="J21" s="57"/>
      <c r="K21" s="57"/>
      <c r="L21" s="57"/>
      <c r="M21" s="57"/>
      <c r="N21" s="57"/>
      <c r="O21" s="740"/>
    </row>
    <row r="22" spans="1:15" ht="28.8" x14ac:dyDescent="0.3">
      <c r="A22" s="1046">
        <v>80</v>
      </c>
      <c r="B22" s="1025" t="s">
        <v>159</v>
      </c>
      <c r="C22" s="1025" t="s">
        <v>582</v>
      </c>
      <c r="D22" s="1047">
        <v>0.04</v>
      </c>
      <c r="E22" s="1024" t="s">
        <v>161</v>
      </c>
      <c r="F22" s="1024">
        <v>1.2</v>
      </c>
      <c r="G22" s="1024" t="s">
        <v>264</v>
      </c>
      <c r="H22" s="1024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76"/>
    </row>
    <row r="23" spans="1:15" ht="28.8" x14ac:dyDescent="0.3">
      <c r="A23" s="1046">
        <v>90</v>
      </c>
      <c r="B23" s="1025" t="s">
        <v>158</v>
      </c>
      <c r="C23" s="1025"/>
      <c r="D23" s="1047">
        <v>0.65</v>
      </c>
      <c r="E23" s="1024" t="s">
        <v>32</v>
      </c>
      <c r="F23" s="1024">
        <v>1</v>
      </c>
      <c r="G23" s="1024"/>
      <c r="H23" s="1024">
        <v>1</v>
      </c>
      <c r="I23" s="32">
        <f t="shared" si="0"/>
        <v>0.65</v>
      </c>
      <c r="J23" s="56"/>
      <c r="K23" s="56"/>
      <c r="L23" s="56"/>
      <c r="M23" s="56"/>
      <c r="N23" s="56"/>
      <c r="O23" s="276"/>
    </row>
    <row r="24" spans="1:15" x14ac:dyDescent="0.3">
      <c r="A24" s="1046">
        <v>100</v>
      </c>
      <c r="B24" s="1025" t="s">
        <v>159</v>
      </c>
      <c r="C24" s="1025" t="s">
        <v>542</v>
      </c>
      <c r="D24" s="1047">
        <v>0.04</v>
      </c>
      <c r="E24" s="1024" t="s">
        <v>161</v>
      </c>
      <c r="F24" s="1024">
        <v>24</v>
      </c>
      <c r="G24" s="1024" t="s">
        <v>264</v>
      </c>
      <c r="H24" s="1024">
        <v>1</v>
      </c>
      <c r="I24" s="32">
        <f t="shared" si="0"/>
        <v>0.96</v>
      </c>
      <c r="J24" s="56"/>
      <c r="K24" s="56"/>
      <c r="L24" s="56"/>
      <c r="M24" s="56"/>
      <c r="N24" s="56"/>
      <c r="O24" s="276"/>
    </row>
    <row r="25" spans="1:15" ht="28.8" x14ac:dyDescent="0.3">
      <c r="A25" s="1046">
        <v>110</v>
      </c>
      <c r="B25" s="1025" t="s">
        <v>158</v>
      </c>
      <c r="C25" s="1025"/>
      <c r="D25" s="1047">
        <v>0.65</v>
      </c>
      <c r="E25" s="1024" t="s">
        <v>32</v>
      </c>
      <c r="F25" s="1024">
        <v>1</v>
      </c>
      <c r="G25" s="1024"/>
      <c r="H25" s="1024">
        <v>1</v>
      </c>
      <c r="I25" s="32">
        <f t="shared" si="0"/>
        <v>0.65</v>
      </c>
      <c r="J25" s="56"/>
      <c r="K25" s="56"/>
      <c r="L25" s="56"/>
      <c r="M25" s="56"/>
      <c r="N25" s="56"/>
      <c r="O25" s="276"/>
    </row>
    <row r="26" spans="1:15" x14ac:dyDescent="0.3">
      <c r="A26" s="1046">
        <v>120</v>
      </c>
      <c r="B26" s="1025" t="s">
        <v>159</v>
      </c>
      <c r="C26" s="1025" t="s">
        <v>543</v>
      </c>
      <c r="D26" s="1047">
        <v>0.04</v>
      </c>
      <c r="E26" s="1024" t="s">
        <v>161</v>
      </c>
      <c r="F26" s="1024">
        <v>16</v>
      </c>
      <c r="G26" s="1024" t="s">
        <v>264</v>
      </c>
      <c r="H26" s="1024">
        <v>1</v>
      </c>
      <c r="I26" s="32">
        <f t="shared" si="0"/>
        <v>0.64</v>
      </c>
      <c r="J26" s="56"/>
      <c r="K26" s="56"/>
      <c r="L26" s="56"/>
      <c r="M26" s="56"/>
      <c r="N26" s="56"/>
      <c r="O26" s="276"/>
    </row>
    <row r="27" spans="1:15" ht="28.8" x14ac:dyDescent="0.3">
      <c r="A27" s="1046">
        <v>130</v>
      </c>
      <c r="B27" s="1062" t="s">
        <v>381</v>
      </c>
      <c r="C27" s="1025" t="s">
        <v>583</v>
      </c>
      <c r="D27" s="1047">
        <v>0.35</v>
      </c>
      <c r="E27" s="1024" t="s">
        <v>584</v>
      </c>
      <c r="F27" s="1024">
        <v>1</v>
      </c>
      <c r="G27" s="1024" t="s">
        <v>264</v>
      </c>
      <c r="H27" s="1024">
        <v>1</v>
      </c>
      <c r="I27" s="1069">
        <f t="shared" si="0"/>
        <v>0.35</v>
      </c>
      <c r="J27" s="56"/>
      <c r="K27" s="56"/>
      <c r="L27" s="56"/>
      <c r="M27" s="56"/>
      <c r="N27" s="56"/>
      <c r="O27" s="276"/>
    </row>
    <row r="28" spans="1:15" x14ac:dyDescent="0.3">
      <c r="A28" s="736"/>
      <c r="B28" s="24"/>
      <c r="C28" s="24"/>
      <c r="D28" s="24"/>
      <c r="E28" s="24"/>
      <c r="F28" s="24"/>
      <c r="G28" s="24"/>
      <c r="H28" s="111" t="s">
        <v>18</v>
      </c>
      <c r="I28" s="1022">
        <f>SUM(I15:I26)</f>
        <v>80.678000000000011</v>
      </c>
      <c r="J28" s="56"/>
      <c r="K28" s="56"/>
      <c r="L28" s="56"/>
      <c r="M28" s="56"/>
      <c r="N28" s="56"/>
      <c r="O28" s="276"/>
    </row>
    <row r="29" spans="1:15" x14ac:dyDescent="0.3">
      <c r="A29" s="722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76"/>
    </row>
    <row r="30" spans="1:15" x14ac:dyDescent="0.3">
      <c r="A30" s="722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6"/>
    </row>
    <row r="31" spans="1:15" x14ac:dyDescent="0.3">
      <c r="A31" s="722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76"/>
    </row>
    <row r="32" spans="1:15" x14ac:dyDescent="0.3">
      <c r="A32" s="722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76"/>
    </row>
    <row r="33" spans="1:15" x14ac:dyDescent="0.3">
      <c r="A33" s="722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76"/>
    </row>
    <row r="34" spans="1:15" ht="15" thickBot="1" x14ac:dyDescent="0.35">
      <c r="A34" s="296"/>
      <c r="B34" s="297"/>
      <c r="C34" s="297"/>
      <c r="D34" s="297"/>
      <c r="E34" s="297"/>
      <c r="F34" s="297"/>
      <c r="G34" s="297"/>
      <c r="H34" s="297"/>
      <c r="I34" s="297"/>
      <c r="J34" s="297"/>
      <c r="K34" s="297"/>
      <c r="L34" s="297"/>
      <c r="M34" s="297"/>
      <c r="N34" s="297"/>
      <c r="O34" s="298"/>
    </row>
  </sheetData>
  <hyperlinks>
    <hyperlink ref="E3" location="dSU_11001" display="Drawing"/>
    <hyperlink ref="B4" location="SU_A1100" display="SU_A1100"/>
    <hyperlink ref="G2" location="SU_A11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5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591</v>
      </c>
    </row>
  </sheetData>
  <hyperlinks>
    <hyperlink ref="B1" location="SU_11001" display="SU_11001"/>
  </hyperlinks>
  <pageMargins left="0.7" right="0.7" top="0.75" bottom="0.75" header="0.3" footer="0.3"/>
  <pageSetup paperSize="9" fitToHeight="0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5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22.88671875" customWidth="1"/>
    <col min="3" max="3" width="25.33203125" customWidth="1"/>
    <col min="7" max="7" width="14.44140625" customWidth="1"/>
    <col min="9" max="9" width="14.2187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SU_11002_m+SU_11002_p</f>
        <v>21.194420000000001</v>
      </c>
      <c r="O2" s="276"/>
    </row>
    <row r="3" spans="1:15" x14ac:dyDescent="0.3">
      <c r="A3" s="1036" t="s">
        <v>3</v>
      </c>
      <c r="B3" s="16" t="str">
        <f>'SU A1100 '!B3</f>
        <v>Wheels &amp; Tires</v>
      </c>
      <c r="C3" s="56"/>
      <c r="D3" s="1014" t="s">
        <v>6</v>
      </c>
      <c r="E3" s="283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A1100 '!B4</f>
        <v>Rear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510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21.194420000000001</v>
      </c>
      <c r="O5" s="276"/>
    </row>
    <row r="6" spans="1:15" x14ac:dyDescent="0.3">
      <c r="A6" s="1036" t="s">
        <v>7</v>
      </c>
      <c r="B6" s="28" t="s">
        <v>585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ht="28.8" x14ac:dyDescent="0.3">
      <c r="A11" s="1042">
        <v>10</v>
      </c>
      <c r="B11" s="987" t="s">
        <v>554</v>
      </c>
      <c r="C11" s="988"/>
      <c r="D11" s="32">
        <v>2.25</v>
      </c>
      <c r="E11" s="1043">
        <f>J11*K11*L11</f>
        <v>1.4695199999999999</v>
      </c>
      <c r="F11" s="988" t="s">
        <v>212</v>
      </c>
      <c r="G11" s="988"/>
      <c r="H11" s="990"/>
      <c r="I11" s="847" t="s">
        <v>555</v>
      </c>
      <c r="J11" s="1044">
        <f>0.05*0.072</f>
        <v>3.5999999999999999E-3</v>
      </c>
      <c r="K11" s="1045">
        <v>5.1999999999999998E-2</v>
      </c>
      <c r="L11" s="1000">
        <v>7850</v>
      </c>
      <c r="M11" s="1001">
        <v>1</v>
      </c>
      <c r="N11" s="32">
        <f>D11*E11</f>
        <v>3.3064199999999997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3.3064199999999997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ht="28.8" x14ac:dyDescent="0.3">
      <c r="A15" s="1046">
        <v>10</v>
      </c>
      <c r="B15" s="1025" t="s">
        <v>535</v>
      </c>
      <c r="C15" s="1025" t="s">
        <v>536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6">
        <v>20</v>
      </c>
      <c r="B16" s="1025" t="s">
        <v>159</v>
      </c>
      <c r="C16" s="1025" t="s">
        <v>556</v>
      </c>
      <c r="D16" s="1047">
        <v>0.04</v>
      </c>
      <c r="E16" s="1024" t="s">
        <v>161</v>
      </c>
      <c r="F16" s="1024">
        <v>102</v>
      </c>
      <c r="G16" s="1024" t="s">
        <v>413</v>
      </c>
      <c r="H16" s="1024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6">
        <v>30</v>
      </c>
      <c r="B17" s="1025" t="s">
        <v>158</v>
      </c>
      <c r="C17" s="1025" t="s">
        <v>538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x14ac:dyDescent="0.3">
      <c r="A18" s="1046">
        <v>40</v>
      </c>
      <c r="B18" s="1025" t="s">
        <v>159</v>
      </c>
      <c r="C18" s="1025" t="s">
        <v>557</v>
      </c>
      <c r="D18" s="1047">
        <v>0.04</v>
      </c>
      <c r="E18" s="1024" t="s">
        <v>161</v>
      </c>
      <c r="F18" s="1024">
        <v>25.2</v>
      </c>
      <c r="G18" s="1024" t="s">
        <v>413</v>
      </c>
      <c r="H18" s="1024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6">
        <v>50</v>
      </c>
      <c r="B19" s="1025" t="s">
        <v>158</v>
      </c>
      <c r="C19" s="1025" t="s">
        <v>538</v>
      </c>
      <c r="D19" s="1047">
        <v>0.65</v>
      </c>
      <c r="E19" s="1024" t="s">
        <v>32</v>
      </c>
      <c r="F19" s="1024">
        <v>1</v>
      </c>
      <c r="G19" s="1024"/>
      <c r="H19" s="1024">
        <v>1</v>
      </c>
      <c r="I19" s="32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x14ac:dyDescent="0.3">
      <c r="A20" s="1046">
        <v>60</v>
      </c>
      <c r="B20" s="1025" t="s">
        <v>159</v>
      </c>
      <c r="C20" s="1025" t="s">
        <v>558</v>
      </c>
      <c r="D20" s="1047">
        <v>0.04</v>
      </c>
      <c r="E20" s="1024" t="s">
        <v>161</v>
      </c>
      <c r="F20" s="1024">
        <v>0.2</v>
      </c>
      <c r="G20" s="1024" t="s">
        <v>413</v>
      </c>
      <c r="H20" s="1024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40"/>
    </row>
    <row r="21" spans="1:15" x14ac:dyDescent="0.3">
      <c r="A21" s="1046">
        <v>70</v>
      </c>
      <c r="B21" s="1025" t="s">
        <v>158</v>
      </c>
      <c r="C21" s="1025" t="s">
        <v>538</v>
      </c>
      <c r="D21" s="1047">
        <v>0.65</v>
      </c>
      <c r="E21" s="1024" t="s">
        <v>32</v>
      </c>
      <c r="F21" s="1024">
        <v>1</v>
      </c>
      <c r="G21" s="1024"/>
      <c r="H21" s="1024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76"/>
    </row>
    <row r="22" spans="1:15" x14ac:dyDescent="0.3">
      <c r="A22" s="1046">
        <v>80</v>
      </c>
      <c r="B22" s="1025" t="s">
        <v>159</v>
      </c>
      <c r="C22" s="1025" t="s">
        <v>559</v>
      </c>
      <c r="D22" s="1047">
        <v>0.04</v>
      </c>
      <c r="E22" s="1024" t="s">
        <v>161</v>
      </c>
      <c r="F22" s="1024">
        <v>3.56</v>
      </c>
      <c r="G22" s="1024" t="s">
        <v>413</v>
      </c>
      <c r="H22" s="1024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76"/>
    </row>
    <row r="23" spans="1:15" x14ac:dyDescent="0.3">
      <c r="A23" s="722"/>
      <c r="B23" s="56"/>
      <c r="C23" s="56"/>
      <c r="D23" s="56"/>
      <c r="E23" s="56"/>
      <c r="F23" s="56"/>
      <c r="G23" s="56"/>
      <c r="H23" s="108" t="s">
        <v>18</v>
      </c>
      <c r="I23" s="1057">
        <f>SUM(I15:I20)</f>
        <v>17.888000000000002</v>
      </c>
      <c r="J23" s="56"/>
      <c r="K23" s="56"/>
      <c r="L23" s="56"/>
      <c r="M23" s="56"/>
      <c r="N23" s="56"/>
      <c r="O23" s="276"/>
    </row>
    <row r="24" spans="1:15" s="56" customFormat="1" x14ac:dyDescent="0.3">
      <c r="A24" s="722"/>
      <c r="O24" s="276"/>
    </row>
    <row r="25" spans="1:15" ht="15" thickBot="1" x14ac:dyDescent="0.35">
      <c r="A25" s="296"/>
      <c r="B25" s="297"/>
      <c r="C25" s="297"/>
      <c r="D25" s="297"/>
      <c r="E25" s="297"/>
      <c r="F25" s="297"/>
      <c r="G25" s="297"/>
      <c r="H25" s="297"/>
      <c r="I25" s="297"/>
      <c r="J25" s="297"/>
      <c r="K25" s="297"/>
      <c r="L25" s="297"/>
      <c r="M25" s="297"/>
      <c r="N25" s="297"/>
      <c r="O25" s="298"/>
    </row>
  </sheetData>
  <hyperlinks>
    <hyperlink ref="E3" location="dSU_11002" display="Drawing"/>
    <hyperlink ref="G2" location="SU_A1100_BOM" display="Back to BOM"/>
    <hyperlink ref="B4" location="SU_A1100" display="SU_A11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/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592</v>
      </c>
    </row>
  </sheetData>
  <hyperlinks>
    <hyperlink ref="B1" location="SU_11002" display="SU_11002"/>
  </hyperlinks>
  <pageMargins left="0.7" right="0.7" top="0.75" bottom="0.75" header="0.3" footer="0.3"/>
  <pageSetup paperSize="9" fitToHeight="0" orientation="portrait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17.88671875" customWidth="1"/>
    <col min="3" max="3" width="13.44140625" customWidth="1"/>
    <col min="7" max="7" width="10.777343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N12+SU_11003_p</f>
        <v>0.82576020000000006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A1100 '!B4</f>
        <v>Rear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560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0.82576020000000006</v>
      </c>
      <c r="O5" s="62"/>
    </row>
    <row r="6" spans="1:15" x14ac:dyDescent="0.3">
      <c r="A6" s="1014" t="s">
        <v>7</v>
      </c>
      <c r="B6" s="28" t="s">
        <v>586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x14ac:dyDescent="0.3">
      <c r="A11" s="976">
        <v>10</v>
      </c>
      <c r="B11" s="682" t="s">
        <v>375</v>
      </c>
      <c r="C11" s="20"/>
      <c r="D11" s="289">
        <v>2.25</v>
      </c>
      <c r="E11" s="1020">
        <f>J11*K11*L11</f>
        <v>9.6711999999999996E-3</v>
      </c>
      <c r="F11" s="20" t="s">
        <v>212</v>
      </c>
      <c r="G11" s="20"/>
      <c r="H11" s="290"/>
      <c r="I11" s="21" t="s">
        <v>587</v>
      </c>
      <c r="J11" s="1021">
        <f>(22*56*10^(-6))</f>
        <v>1.232E-3</v>
      </c>
      <c r="K11" s="685">
        <v>1E-3</v>
      </c>
      <c r="L11" s="686">
        <v>7850</v>
      </c>
      <c r="M11" s="23">
        <v>1</v>
      </c>
      <c r="N11" s="289">
        <f>D11*E11</f>
        <v>2.17602E-2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2.17602E-2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15.4</v>
      </c>
      <c r="G16" s="681"/>
      <c r="H16" s="1070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3">
      <c r="A17" s="1024">
        <v>30</v>
      </c>
      <c r="B17" s="1025" t="s">
        <v>565</v>
      </c>
      <c r="C17" s="1025"/>
      <c r="D17" s="1026">
        <v>0.25</v>
      </c>
      <c r="E17" s="1024" t="s">
        <v>566</v>
      </c>
      <c r="F17" s="1024">
        <v>1</v>
      </c>
      <c r="G17" s="1024"/>
      <c r="H17" s="1024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22">
        <f>SUM(I15:I16)</f>
        <v>0.80400000000000005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/>
    <hyperlink ref="G2" location="SU_A1100_BOM" display="Back to BOM"/>
    <hyperlink ref="B4" location="SU_A1100" display="SU_A11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593</v>
      </c>
    </row>
  </sheetData>
  <hyperlinks>
    <hyperlink ref="B1" location="SU_11003" display="SU_11003"/>
  </hyperlinks>
  <pageMargins left="0.7" right="0.7" top="0.75" bottom="0.75" header="0.3" footer="0.3"/>
  <pageSetup paperSize="9" fitToHeight="0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7" workbookViewId="0">
      <selection activeCell="B1" sqref="B1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" right="0.7" top="0.75" bottom="0.75" header="0.3" footer="0.3"/>
  <pageSetup paperSize="9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B4" sqref="B4"/>
    </sheetView>
  </sheetViews>
  <sheetFormatPr baseColWidth="10" defaultColWidth="9.109375" defaultRowHeight="14.4" x14ac:dyDescent="0.3"/>
  <cols>
    <col min="2" max="2" width="19" customWidth="1"/>
    <col min="7" max="7" width="12.88671875" customWidth="1"/>
    <col min="9" max="9" width="15.88671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SU_11004_m+SU_11004_p</f>
        <v>0.42454853333333331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15</v>
      </c>
      <c r="O3" s="62"/>
    </row>
    <row r="4" spans="1:15" x14ac:dyDescent="0.3">
      <c r="A4" s="1014" t="s">
        <v>5</v>
      </c>
      <c r="B4" s="283" t="str">
        <f>'SU A1100 '!B4</f>
        <v>Rear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512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6.3682279999999993</v>
      </c>
      <c r="O5" s="62"/>
    </row>
    <row r="6" spans="1:15" x14ac:dyDescent="0.3">
      <c r="A6" s="1014" t="s">
        <v>7</v>
      </c>
      <c r="B6" s="28" t="s">
        <v>588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986">
        <v>10</v>
      </c>
      <c r="B11" s="783" t="s">
        <v>375</v>
      </c>
      <c r="C11" s="1024"/>
      <c r="D11" s="1047">
        <v>2.25</v>
      </c>
      <c r="E11" s="1043">
        <f>J11*K11*L11</f>
        <v>3.1651199999999997E-2</v>
      </c>
      <c r="F11" s="988" t="s">
        <v>212</v>
      </c>
      <c r="G11" s="988"/>
      <c r="H11" s="990"/>
      <c r="I11" s="847" t="s">
        <v>589</v>
      </c>
      <c r="J11" s="1044">
        <f>0.084*0.048</f>
        <v>4.032E-3</v>
      </c>
      <c r="K11" s="1045">
        <v>1E-3</v>
      </c>
      <c r="L11" s="1000">
        <v>7850</v>
      </c>
      <c r="M11" s="1001">
        <v>1</v>
      </c>
      <c r="N11" s="32">
        <f>D11*E11</f>
        <v>7.1215199999999992E-2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7.1215199999999992E-2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590</v>
      </c>
      <c r="H15" s="1024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31</v>
      </c>
      <c r="G16" s="1024"/>
      <c r="H16" s="1024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22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/>
    <hyperlink ref="G2" location="SU_A1100_BOM" display="Back to BOM"/>
    <hyperlink ref="B4" location="SU_A1100" display="SU_A11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K24" sqref="K24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594</v>
      </c>
    </row>
  </sheetData>
  <hyperlinks>
    <hyperlink ref="B1" location="SU_11004" display="SU_11004"/>
  </hyperlinks>
  <pageMargins left="0.7" right="0.7" top="0.75" bottom="0.75" header="0.3" footer="0.3"/>
  <pageSetup paperSize="9" fitToHeight="0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80" zoomScaleNormal="8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0.47719727680000001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402" t="s">
        <v>135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0.95439455360000003</v>
      </c>
      <c r="O5" s="357"/>
    </row>
    <row r="6" spans="1:17" x14ac:dyDescent="0.3">
      <c r="A6" s="350" t="s">
        <v>7</v>
      </c>
      <c r="B6" s="362" t="s">
        <v>191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7.7197276800000006E-2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  <c r="Q13" s="135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0.4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8"/>
  <sheetViews>
    <sheetView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434" t="s">
        <v>37</v>
      </c>
      <c r="C2" s="417"/>
      <c r="D2" s="417"/>
      <c r="E2" s="417"/>
      <c r="F2" s="283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SU_01008_m+SU_01008_p</f>
        <v>1.3930602499999998</v>
      </c>
      <c r="O2" s="436"/>
    </row>
    <row r="3" spans="1:15" x14ac:dyDescent="0.3">
      <c r="A3" s="433" t="s">
        <v>3</v>
      </c>
      <c r="B3" s="434" t="str">
        <f>'SU A0100'!B3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437" t="str">
        <f>'SU A0100'!B4</f>
        <v>Upper Front A-arm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v>1.5188994999999998</v>
      </c>
      <c r="O5" s="436"/>
    </row>
    <row r="6" spans="1:15" x14ac:dyDescent="0.3">
      <c r="A6" s="433" t="s">
        <v>7</v>
      </c>
      <c r="B6" s="439" t="s">
        <v>285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4.200000000000003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13.6</v>
      </c>
      <c r="G17" s="453"/>
      <c r="H17" s="456"/>
      <c r="I17" s="457">
        <f>IF(H17="",D17*F17,D17*F17*H17)</f>
        <v>0.13600000000000001</v>
      </c>
      <c r="J17" s="311"/>
      <c r="K17" s="417"/>
      <c r="L17" s="417"/>
      <c r="M17" s="417"/>
      <c r="N17" s="417"/>
      <c r="O17" s="436"/>
    </row>
    <row r="18" spans="1:15" ht="29.4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1.2453219999999998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7" t="s">
        <v>285</v>
      </c>
    </row>
    <row r="5" spans="1:12" x14ac:dyDescent="0.3">
      <c r="L5" s="304"/>
    </row>
  </sheetData>
  <hyperlinks>
    <hyperlink ref="B1" location="SU_01008" display="SU_01008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SU_01009_m+SU_01009_p</f>
        <v>1.3590899374999998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290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286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5.2555749999999998E-2</v>
      </c>
      <c r="F11" s="322" t="s">
        <v>212</v>
      </c>
      <c r="G11" s="322"/>
      <c r="H11" s="323"/>
      <c r="I11" s="324" t="s">
        <v>280</v>
      </c>
      <c r="J11" s="325">
        <v>1.3389999999999999E-3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0.1182504375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2.6779999999999998E-3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2.6779999999999998E-2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0.1450304375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41.4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13.8</v>
      </c>
      <c r="G17" s="310"/>
      <c r="H17" s="334"/>
      <c r="I17" s="306">
        <f>IF(H17="",D17*F17,D17*F17*H17)</f>
        <v>0.13800000000000001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2.6779999999999998E-3</v>
      </c>
      <c r="G20" s="310"/>
      <c r="H20" s="334"/>
      <c r="I20" s="313">
        <f>F20*D20</f>
        <v>1.4059499999999999E-2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1.2140594999999998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7" t="s">
        <v>286</v>
      </c>
    </row>
  </sheetData>
  <hyperlinks>
    <hyperlink ref="B1" location="SU_01009" display="SU_01009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43"/>
  <sheetViews>
    <sheetView tabSelected="1" zoomScale="90" zoomScaleNormal="90" workbookViewId="0">
      <pane xSplit="3" ySplit="6" topLeftCell="D79" activePane="bottomRight" state="frozen"/>
      <selection activeCell="H10" sqref="H10"/>
      <selection pane="topRight" activeCell="H10" sqref="H10"/>
      <selection pane="bottomLeft" activeCell="H10" sqref="H10"/>
      <selection pane="bottomRight" activeCell="C79" sqref="C79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2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2.7861204999999996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2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2.7181798749999997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2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2.6286548750000001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2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2.6557837500000003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6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7"/>
      <c r="H27" s="122">
        <f t="shared" ref="H27:H30" si="12">SUM(J27:M27)</f>
        <v>1.3868720000000001</v>
      </c>
      <c r="I27" s="126">
        <f>SU_A0200_q*SU_02008_q</f>
        <v>2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2.7737440000000002</v>
      </c>
      <c r="O27" s="479"/>
    </row>
    <row r="28" spans="1:15" ht="14.4" x14ac:dyDescent="0.3">
      <c r="A28" s="476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8" t="str">
        <f>'SU 02009'!B5</f>
        <v>Front down bracket</v>
      </c>
      <c r="G28" s="477"/>
      <c r="H28" s="122">
        <f t="shared" si="12"/>
        <v>1.4357435000000001</v>
      </c>
      <c r="I28" s="126">
        <f>SU_A0200_q*SU_02009_q</f>
        <v>2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2.8714870000000001</v>
      </c>
      <c r="O28" s="479"/>
    </row>
    <row r="29" spans="1:15" ht="14.4" x14ac:dyDescent="0.3">
      <c r="A29" s="476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8" t="str">
        <f>'SU 02010'!B5</f>
        <v>Rear Up bracket</v>
      </c>
      <c r="G29" s="477"/>
      <c r="H29" s="122">
        <f t="shared" si="12"/>
        <v>1.3315549999999998</v>
      </c>
      <c r="I29" s="126">
        <f>SU_A0200_q*SU_02010_q</f>
        <v>2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2.6631099999999996</v>
      </c>
      <c r="O29" s="479"/>
    </row>
    <row r="30" spans="1:15" ht="14.4" x14ac:dyDescent="0.3">
      <c r="A30" s="476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8" t="str">
        <f>'SU 02011'!B5</f>
        <v>Rear down bracket</v>
      </c>
      <c r="G30" s="477"/>
      <c r="H30" s="122">
        <f t="shared" si="12"/>
        <v>1.41506025</v>
      </c>
      <c r="I30" s="126">
        <f>SU_A0200_q*SU_02011_q</f>
        <v>2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2.8301205</v>
      </c>
      <c r="O30" s="479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6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8" t="str">
        <f>'SU 03008'!$B$5</f>
        <v>Front up bracket</v>
      </c>
      <c r="G39" s="477"/>
      <c r="H39" s="122">
        <f t="shared" ref="H39:H50" si="17">SUM(J39:M39)</f>
        <v>1.4969516249999999</v>
      </c>
      <c r="I39" s="126">
        <f>SU_A0300_q*SU_03008_q</f>
        <v>2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2.9939032499999998</v>
      </c>
      <c r="O39" s="479"/>
    </row>
    <row r="40" spans="1:15" ht="14.4" x14ac:dyDescent="0.3">
      <c r="A40" s="476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8" t="str">
        <f>'SU 03009'!$B$5</f>
        <v>Front down bracket</v>
      </c>
      <c r="G40" s="477"/>
      <c r="H40" s="122">
        <f t="shared" si="17"/>
        <v>1.49211</v>
      </c>
      <c r="I40" s="126">
        <f>SU_A0300_q*SU_03009_q</f>
        <v>2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2.9842200000000001</v>
      </c>
      <c r="O40" s="479"/>
    </row>
    <row r="41" spans="1:15" ht="14.4" x14ac:dyDescent="0.3">
      <c r="A41" s="476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8" t="str">
        <f>'SU 03010'!$B$5</f>
        <v>Rear up bracket</v>
      </c>
      <c r="G41" s="477"/>
      <c r="H41" s="122">
        <f t="shared" si="17"/>
        <v>1.2680301249999999</v>
      </c>
      <c r="I41" s="126">
        <f>SU_A0300_q*SU_03010_q</f>
        <v>2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2.5360602499999998</v>
      </c>
      <c r="O41" s="479"/>
    </row>
    <row r="42" spans="1:15" ht="14.4" x14ac:dyDescent="0.3">
      <c r="A42" s="476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8" t="str">
        <f>'SU 03011'!$B$5</f>
        <v>Rear down bracket</v>
      </c>
      <c r="G42" s="477"/>
      <c r="H42" s="122">
        <f t="shared" si="17"/>
        <v>1.3787631249999999</v>
      </c>
      <c r="I42" s="126">
        <f>SU_A0300_q*SU_03011_q</f>
        <v>2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2.7575262499999997</v>
      </c>
      <c r="O42" s="479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2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17.908000000000001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4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13.341522176000002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2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24.066781199999994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2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14.815135439999997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10.6707430272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4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1.9087891072000001</v>
      </c>
      <c r="O50" s="125"/>
    </row>
    <row r="51" spans="1:15" ht="14.4" x14ac:dyDescent="0.3">
      <c r="A51" s="476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7"/>
      <c r="H51" s="122">
        <f t="shared" ref="H51:H56" si="20">SUM(J51:M51)</f>
        <v>1.3905750000000001</v>
      </c>
      <c r="I51" s="126">
        <f>SU_A0400_q*SU_04008_q</f>
        <v>2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7" si="21">H51*I51</f>
        <v>2.7811500000000002</v>
      </c>
      <c r="O51" s="479"/>
    </row>
    <row r="52" spans="1:15" ht="14.4" x14ac:dyDescent="0.3">
      <c r="A52" s="476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8" t="str">
        <f>'SU 04009'!$B$5</f>
        <v>Front down bracket</v>
      </c>
      <c r="G52" s="477"/>
      <c r="H52" s="122">
        <f t="shared" si="20"/>
        <v>1.3814265000000003</v>
      </c>
      <c r="I52" s="126">
        <f>SU_A0400_q*SU_04009_q</f>
        <v>2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2.7628530000000007</v>
      </c>
      <c r="O52" s="479"/>
    </row>
    <row r="53" spans="1:15" ht="14.4" x14ac:dyDescent="0.3">
      <c r="A53" s="476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8" t="str">
        <f>'SU 04010'!$B$5</f>
        <v>Rear up bracket</v>
      </c>
      <c r="G53" s="477"/>
      <c r="H53" s="122">
        <f t="shared" si="20"/>
        <v>1.8130709999999999</v>
      </c>
      <c r="I53" s="126">
        <f>SU_A0400_q*SU_04010_q</f>
        <v>2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3.6261419999999998</v>
      </c>
      <c r="O53" s="479"/>
    </row>
    <row r="54" spans="1:15" ht="14.4" x14ac:dyDescent="0.3">
      <c r="A54" s="476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8" t="str">
        <f>'SU 04011'!$B$5</f>
        <v>Rear down bracket</v>
      </c>
      <c r="G54" s="477"/>
      <c r="H54" s="122">
        <f t="shared" si="20"/>
        <v>1.9015070000000001</v>
      </c>
      <c r="I54" s="126">
        <f>SU_A0400_q*SU_04011_q</f>
        <v>2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3.8030140000000001</v>
      </c>
      <c r="O54" s="479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74" t="str">
        <f>'SU A0500'!B4</f>
        <v>Front suspension</v>
      </c>
      <c r="G55" s="114"/>
      <c r="H55" s="115">
        <f t="shared" si="20"/>
        <v>332.69722874847344</v>
      </c>
      <c r="I55" s="691">
        <f>SU_A0500_q</f>
        <v>2</v>
      </c>
      <c r="J55" s="116">
        <f>SU_A0500_m</f>
        <v>330.04</v>
      </c>
      <c r="K55" s="116">
        <f>SU_A0500_p</f>
        <v>2.12</v>
      </c>
      <c r="L55" s="116">
        <f>SU_A0500_f</f>
        <v>0.20389541514008255</v>
      </c>
      <c r="M55" s="116">
        <f>SU_A0500_t</f>
        <v>0.33333333333333331</v>
      </c>
      <c r="N55" s="117">
        <f t="shared" si="21"/>
        <v>665.39445749694687</v>
      </c>
      <c r="O55" s="118"/>
    </row>
    <row r="56" spans="1:15" ht="14.4" x14ac:dyDescent="0.3">
      <c r="A56" s="119"/>
      <c r="B56" s="119" t="s">
        <v>129</v>
      </c>
      <c r="C56" s="120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92">
        <f>SU_05001_q</f>
        <v>1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5.9234014172552163</v>
      </c>
      <c r="O56" s="125"/>
    </row>
    <row r="57" spans="1:15" ht="14.4" x14ac:dyDescent="0.3">
      <c r="A57" s="705"/>
      <c r="B57" s="112" t="s">
        <v>129</v>
      </c>
      <c r="C57" s="707" t="str">
        <f>SU_A0600</f>
        <v>SU A0600</v>
      </c>
      <c r="D57" s="707" t="s">
        <v>11</v>
      </c>
      <c r="E57" s="707"/>
      <c r="F57" s="708" t="str">
        <f>'SU A0600'!B4</f>
        <v>Front Bell Crank</v>
      </c>
      <c r="G57" s="707"/>
      <c r="H57" s="709">
        <f t="shared" ref="H57:H61" si="22">SUM(J57:M57)</f>
        <v>2.2678904435983189</v>
      </c>
      <c r="I57" s="710">
        <f>SU_A0600_q</f>
        <v>2</v>
      </c>
      <c r="J57" s="711">
        <f>SU_A0600_m</f>
        <v>0.09</v>
      </c>
      <c r="K57" s="711">
        <f>SU_A0600_p</f>
        <v>1.5945</v>
      </c>
      <c r="L57" s="711">
        <f>SU_A0600_f</f>
        <v>0.25005711026498539</v>
      </c>
      <c r="M57" s="711">
        <f>SU_A0600_t</f>
        <v>0.33333333333333331</v>
      </c>
      <c r="N57" s="712">
        <f t="shared" si="21"/>
        <v>4.5357808871966379</v>
      </c>
      <c r="O57" s="713"/>
    </row>
    <row r="58" spans="1:15" ht="14.4" x14ac:dyDescent="0.3">
      <c r="A58" s="476"/>
      <c r="B58" s="119" t="s">
        <v>129</v>
      </c>
      <c r="C58" s="120" t="str">
        <f>SU_06001</f>
        <v>SU 06001</v>
      </c>
      <c r="D58" s="477" t="s">
        <v>11</v>
      </c>
      <c r="E58" s="477" t="s">
        <v>384</v>
      </c>
      <c r="F58" s="478" t="s">
        <v>385</v>
      </c>
      <c r="G58" s="477"/>
      <c r="H58" s="715">
        <f t="shared" si="22"/>
        <v>1.3710986506763019</v>
      </c>
      <c r="I58" s="716">
        <f>SU_06001_q</f>
        <v>2</v>
      </c>
      <c r="J58" s="717">
        <f>SU_06001_m</f>
        <v>4.6098650676301943E-2</v>
      </c>
      <c r="K58" s="717">
        <f>SU_06001_p</f>
        <v>1.325</v>
      </c>
      <c r="L58" s="717">
        <v>0</v>
      </c>
      <c r="M58" s="717">
        <v>0</v>
      </c>
      <c r="N58" s="718">
        <f t="shared" si="21"/>
        <v>2.7421973013526038</v>
      </c>
      <c r="O58" s="479"/>
    </row>
    <row r="59" spans="1:15" ht="14.4" x14ac:dyDescent="0.3">
      <c r="A59" s="476"/>
      <c r="B59" s="714" t="str">
        <f>'SU A0600'!$B$3</f>
        <v>Suspension &amp; Shocks</v>
      </c>
      <c r="C59" s="120" t="str">
        <f>SU_06002</f>
        <v>SU 06002</v>
      </c>
      <c r="D59" s="477" t="s">
        <v>11</v>
      </c>
      <c r="E59" s="477" t="s">
        <v>384</v>
      </c>
      <c r="F59" s="478" t="s">
        <v>386</v>
      </c>
      <c r="G59" s="477"/>
      <c r="H59" s="715">
        <f t="shared" si="22"/>
        <v>1.5427786126391492</v>
      </c>
      <c r="I59" s="719">
        <f>SU_06002_q</f>
        <v>1</v>
      </c>
      <c r="J59" s="717">
        <f>SU_06002_m</f>
        <v>5.4378612639149136E-2</v>
      </c>
      <c r="K59" s="717">
        <f>SU_06002_p</f>
        <v>1.4883999999999999</v>
      </c>
      <c r="L59" s="717">
        <v>0</v>
      </c>
      <c r="M59" s="717">
        <v>0</v>
      </c>
      <c r="N59" s="718">
        <f t="shared" si="21"/>
        <v>1.5427786126391492</v>
      </c>
      <c r="O59" s="479"/>
    </row>
    <row r="60" spans="1:15" ht="14.4" x14ac:dyDescent="0.3">
      <c r="A60" s="476"/>
      <c r="B60" s="714" t="str">
        <f>'SU A0600'!$B$3</f>
        <v>Suspension &amp; Shocks</v>
      </c>
      <c r="C60" s="120" t="str">
        <f>SU_06003</f>
        <v>SU 06003</v>
      </c>
      <c r="D60" s="477" t="s">
        <v>11</v>
      </c>
      <c r="E60" s="477" t="s">
        <v>384</v>
      </c>
      <c r="F60" s="478" t="s">
        <v>387</v>
      </c>
      <c r="G60" s="477"/>
      <c r="H60" s="715">
        <f t="shared" si="22"/>
        <v>0.88140624999999995</v>
      </c>
      <c r="I60" s="719">
        <f>SU_06003_q</f>
        <v>2</v>
      </c>
      <c r="J60" s="717">
        <f>SU_06003_m</f>
        <v>0.39740625000000002</v>
      </c>
      <c r="K60" s="717">
        <f>SU_06003_p</f>
        <v>0.48399999999999999</v>
      </c>
      <c r="L60" s="717">
        <v>0</v>
      </c>
      <c r="M60" s="717">
        <v>0</v>
      </c>
      <c r="N60" s="718">
        <f t="shared" si="21"/>
        <v>1.7628124999999999</v>
      </c>
      <c r="O60" s="479"/>
    </row>
    <row r="61" spans="1:15" ht="14.4" x14ac:dyDescent="0.3">
      <c r="A61" s="476"/>
      <c r="B61" s="714" t="str">
        <f>'SU A0600'!$B$3</f>
        <v>Suspension &amp; Shocks</v>
      </c>
      <c r="C61" s="120" t="str">
        <f>SU_06004</f>
        <v>SU 06004</v>
      </c>
      <c r="D61" s="477" t="s">
        <v>11</v>
      </c>
      <c r="E61" s="477" t="s">
        <v>384</v>
      </c>
      <c r="F61" s="478" t="s">
        <v>388</v>
      </c>
      <c r="G61" s="477"/>
      <c r="H61" s="715">
        <f t="shared" si="22"/>
        <v>2.2702062500000002</v>
      </c>
      <c r="I61" s="719">
        <f>SU_06003_q</f>
        <v>2</v>
      </c>
      <c r="J61" s="717">
        <f>SU_06004_m</f>
        <v>0.11480624999999998</v>
      </c>
      <c r="K61" s="717">
        <f>SU_06004_p</f>
        <v>2.1554000000000002</v>
      </c>
      <c r="L61" s="717">
        <v>0</v>
      </c>
      <c r="M61" s="717">
        <v>0</v>
      </c>
      <c r="N61" s="718">
        <f t="shared" si="21"/>
        <v>4.5404125000000004</v>
      </c>
      <c r="O61" s="479"/>
    </row>
    <row r="62" spans="1:15" ht="14.4" x14ac:dyDescent="0.3">
      <c r="A62" s="705"/>
      <c r="B62" s="706" t="str">
        <f>'SU A0600'!$B$3</f>
        <v>Suspension &amp; Shocks</v>
      </c>
      <c r="C62" s="114" t="str">
        <f>SU_A0700</f>
        <v>SU A0700</v>
      </c>
      <c r="D62" s="707" t="s">
        <v>11</v>
      </c>
      <c r="E62" s="707"/>
      <c r="F62" s="708" t="str">
        <f>'SU A0700'!B4</f>
        <v>Rear suspension</v>
      </c>
      <c r="G62" s="707"/>
      <c r="H62" s="709">
        <f t="shared" ref="H62:H63" si="23">SUM(J62:M62)</f>
        <v>335.02112416361354</v>
      </c>
      <c r="I62" s="710">
        <f>SU_A0700_q</f>
        <v>2</v>
      </c>
      <c r="J62" s="711">
        <f>SU_A0700_m</f>
        <v>330.04</v>
      </c>
      <c r="K62" s="711">
        <f>SU_A0700_p</f>
        <v>4.24</v>
      </c>
      <c r="L62" s="711">
        <f>SU_A0700_f</f>
        <v>0.40779083028016511</v>
      </c>
      <c r="M62" s="711">
        <f>SU_A0700_t</f>
        <v>0.33333333333333331</v>
      </c>
      <c r="N62" s="712">
        <f t="shared" si="21"/>
        <v>670.04224832722707</v>
      </c>
      <c r="O62" s="713"/>
    </row>
    <row r="63" spans="1:15" ht="14.4" x14ac:dyDescent="0.3">
      <c r="A63" s="476"/>
      <c r="B63" s="714" t="str">
        <f>'SU A0600'!$B$3</f>
        <v>Suspension &amp; Shocks</v>
      </c>
      <c r="C63" s="794" t="str">
        <f>SU_07001</f>
        <v>SU 07001</v>
      </c>
      <c r="D63" s="477" t="s">
        <v>11</v>
      </c>
      <c r="E63" s="477" t="str">
        <f>F62</f>
        <v>Rear suspension</v>
      </c>
      <c r="F63" s="478" t="str">
        <f>'SU 07001'!B5</f>
        <v>Shock rear Bracket</v>
      </c>
      <c r="G63" s="477"/>
      <c r="H63" s="715">
        <f t="shared" si="23"/>
        <v>5.9234014172552163</v>
      </c>
      <c r="I63" s="716">
        <f>SU_07001_q</f>
        <v>1</v>
      </c>
      <c r="J63" s="717">
        <f>SU_07001_m</f>
        <v>0.38660141725521602</v>
      </c>
      <c r="K63" s="717">
        <f>SU_07001_p</f>
        <v>5.5368000000000004</v>
      </c>
      <c r="L63" s="717">
        <v>0</v>
      </c>
      <c r="M63" s="717">
        <v>0</v>
      </c>
      <c r="N63" s="718">
        <f t="shared" si="21"/>
        <v>5.9234014172552163</v>
      </c>
      <c r="O63" s="479"/>
    </row>
    <row r="64" spans="1:15" ht="14.4" x14ac:dyDescent="0.3">
      <c r="A64" s="112"/>
      <c r="B64" s="706" t="str">
        <f>'SU A0600'!$B$3</f>
        <v>Suspension &amp; Shocks</v>
      </c>
      <c r="C64" s="114" t="str">
        <f>SU_A0800</f>
        <v>SU A0800</v>
      </c>
      <c r="D64" s="114" t="s">
        <v>11</v>
      </c>
      <c r="E64" s="114"/>
      <c r="F64" s="274" t="s">
        <v>440</v>
      </c>
      <c r="G64" s="114"/>
      <c r="H64" s="115">
        <f t="shared" ref="H64:H67" si="24">SUM(J64:M64)</f>
        <v>4.8177252544509166</v>
      </c>
      <c r="I64" s="691">
        <f>SU_A0800_q</f>
        <v>2</v>
      </c>
      <c r="J64" s="116">
        <f>SU_A0800_m</f>
        <v>0.2</v>
      </c>
      <c r="K64" s="116">
        <f>SU_A0800_p</f>
        <v>3.5024999999999999</v>
      </c>
      <c r="L64" s="116">
        <f>SU_A0800_f</f>
        <v>0.11522525445091675</v>
      </c>
      <c r="M64" s="116">
        <f>SU_A0800_t</f>
        <v>1</v>
      </c>
      <c r="N64" s="117">
        <f t="shared" si="21"/>
        <v>9.6354505089018332</v>
      </c>
      <c r="O64" s="118"/>
    </row>
    <row r="65" spans="1:15" ht="14.4" x14ac:dyDescent="0.3">
      <c r="A65" s="119"/>
      <c r="B65" s="714" t="str">
        <f>'SU A0600'!$B$3</f>
        <v>Suspension &amp; Shocks</v>
      </c>
      <c r="C65" s="794" t="str">
        <f>SU_08001</f>
        <v>SU 08001</v>
      </c>
      <c r="D65" s="120" t="s">
        <v>11</v>
      </c>
      <c r="E65" s="120" t="str">
        <f>$F$64</f>
        <v>Rear Bell Cranck</v>
      </c>
      <c r="F65" s="121" t="s">
        <v>385</v>
      </c>
      <c r="G65" s="120"/>
      <c r="H65" s="122">
        <f t="shared" si="24"/>
        <v>1.3710986506763019</v>
      </c>
      <c r="I65" s="692">
        <f>SU_08001_q</f>
        <v>2</v>
      </c>
      <c r="J65" s="123">
        <f>SU_08001_m</f>
        <v>4.6098650676301943E-2</v>
      </c>
      <c r="K65" s="123">
        <f>SU_08001_p</f>
        <v>1.325</v>
      </c>
      <c r="L65" s="123">
        <v>0</v>
      </c>
      <c r="M65" s="123">
        <v>0</v>
      </c>
      <c r="N65" s="124">
        <f t="shared" si="21"/>
        <v>2.7421973013526038</v>
      </c>
      <c r="O65" s="125"/>
    </row>
    <row r="66" spans="1:15" ht="14.4" x14ac:dyDescent="0.3">
      <c r="A66" s="119"/>
      <c r="B66" s="798" t="str">
        <f>'SU A0800'!$B$3</f>
        <v>Suspension &amp; Shocks</v>
      </c>
      <c r="C66" s="794" t="str">
        <f>SU_08002</f>
        <v>SU 08002</v>
      </c>
      <c r="D66" s="120" t="s">
        <v>11</v>
      </c>
      <c r="E66" s="120" t="str">
        <f t="shared" ref="E66:E67" si="25">$F$64</f>
        <v>Rear Bell Cranck</v>
      </c>
      <c r="F66" s="121" t="s">
        <v>387</v>
      </c>
      <c r="G66" s="120"/>
      <c r="H66" s="122">
        <f t="shared" si="24"/>
        <v>2.0644187499999997</v>
      </c>
      <c r="I66" s="126">
        <f>SU_08002_q</f>
        <v>2</v>
      </c>
      <c r="J66" s="123">
        <f>SU_08002_m</f>
        <v>0.34441874999999994</v>
      </c>
      <c r="K66" s="123">
        <f>SU_08002_p</f>
        <v>1.72</v>
      </c>
      <c r="L66" s="123">
        <v>0</v>
      </c>
      <c r="M66" s="123">
        <v>0</v>
      </c>
      <c r="N66" s="124">
        <f t="shared" si="21"/>
        <v>4.1288374999999995</v>
      </c>
      <c r="O66" s="125"/>
    </row>
    <row r="67" spans="1:15" ht="14.4" x14ac:dyDescent="0.3">
      <c r="A67" s="119"/>
      <c r="B67" s="798" t="str">
        <f>'SU A0800'!$B$3</f>
        <v>Suspension &amp; Shocks</v>
      </c>
      <c r="C67" s="794" t="str">
        <f>SU_08003</f>
        <v>SU 08003</v>
      </c>
      <c r="D67" s="120" t="s">
        <v>11</v>
      </c>
      <c r="E67" s="120" t="str">
        <f t="shared" si="25"/>
        <v>Rear Bell Cranck</v>
      </c>
      <c r="F67" s="121" t="s">
        <v>441</v>
      </c>
      <c r="G67" s="120"/>
      <c r="H67" s="122">
        <f t="shared" si="24"/>
        <v>3.3779399999999997</v>
      </c>
      <c r="I67" s="126">
        <f>SU_08003_q</f>
        <v>1</v>
      </c>
      <c r="J67" s="123">
        <f>SU_08003_m</f>
        <v>0.81953999999999994</v>
      </c>
      <c r="K67" s="123">
        <f>SU_08003_p</f>
        <v>2.5583999999999998</v>
      </c>
      <c r="L67" s="123">
        <v>0</v>
      </c>
      <c r="M67" s="123">
        <v>0</v>
      </c>
      <c r="N67" s="124">
        <f t="shared" si="21"/>
        <v>3.3779399999999997</v>
      </c>
      <c r="O67" s="125"/>
    </row>
    <row r="68" spans="1:15" ht="14.4" x14ac:dyDescent="0.3">
      <c r="A68" s="112"/>
      <c r="B68" s="706" t="str">
        <f>'SU A0600'!$B$3</f>
        <v>Suspension &amp; Shocks</v>
      </c>
      <c r="C68" s="114" t="str">
        <f>SU_A0900</f>
        <v>SU A0900</v>
      </c>
      <c r="D68" s="114" t="s">
        <v>11</v>
      </c>
      <c r="E68" s="114"/>
      <c r="F68" s="274" t="str">
        <f>'SU A0900'!B4</f>
        <v>Front Pullrod</v>
      </c>
      <c r="G68" s="114"/>
      <c r="H68" s="115">
        <f t="shared" ref="H68:H71" si="26">SUM(J68:M68)</f>
        <v>13.655876325139229</v>
      </c>
      <c r="I68" s="691">
        <f>SU_A0900_q</f>
        <v>2</v>
      </c>
      <c r="J68" s="116">
        <f>SU_A0900_m</f>
        <v>5</v>
      </c>
      <c r="K68" s="116">
        <f>SU_A0900_p</f>
        <v>8.0960000000000001</v>
      </c>
      <c r="L68" s="116">
        <f>SU_A0900_f</f>
        <v>0.55987632513922869</v>
      </c>
      <c r="M68" s="116">
        <v>0</v>
      </c>
      <c r="N68" s="117">
        <f t="shared" ref="N68:N71" si="27">H68*I68</f>
        <v>27.311752650278457</v>
      </c>
      <c r="O68" s="118"/>
    </row>
    <row r="69" spans="1:15" ht="14.4" x14ac:dyDescent="0.3">
      <c r="A69" s="119"/>
      <c r="B69" s="714" t="str">
        <f>'SU A0600'!$B$3</f>
        <v>Suspension &amp; Shocks</v>
      </c>
      <c r="C69" s="794" t="str">
        <f>SU_09001</f>
        <v>SU 09001</v>
      </c>
      <c r="D69" s="120" t="s">
        <v>11</v>
      </c>
      <c r="E69" s="120" t="str">
        <f>$F$68</f>
        <v>Front Pullrod</v>
      </c>
      <c r="F69" s="121" t="str">
        <f>'SU 09001'!B5</f>
        <v>Tie rod tube</v>
      </c>
      <c r="G69" s="120"/>
      <c r="H69" s="122">
        <f t="shared" si="26"/>
        <v>9.0687098494115101</v>
      </c>
      <c r="I69" s="692">
        <f>SU_09001_q</f>
        <v>1</v>
      </c>
      <c r="J69" s="123">
        <f>SU_09001_m</f>
        <v>8.0610754216991207</v>
      </c>
      <c r="K69" s="123">
        <f>SU_09001_p</f>
        <v>1.0076344277123901</v>
      </c>
      <c r="L69" s="123">
        <v>0</v>
      </c>
      <c r="M69" s="123">
        <v>0</v>
      </c>
      <c r="N69" s="124">
        <f t="shared" si="27"/>
        <v>9.0687098494115101</v>
      </c>
      <c r="O69" s="125"/>
    </row>
    <row r="70" spans="1:15" ht="14.4" x14ac:dyDescent="0.3">
      <c r="A70" s="119"/>
      <c r="B70" s="798" t="str">
        <f>'SU A0800'!$B$3</f>
        <v>Suspension &amp; Shocks</v>
      </c>
      <c r="C70" s="794" t="str">
        <f>SU_09002</f>
        <v>SU 09002</v>
      </c>
      <c r="D70" s="120" t="s">
        <v>11</v>
      </c>
      <c r="E70" s="120" t="str">
        <f t="shared" ref="E70:E72" si="28">$F$68</f>
        <v>Front Pullrod</v>
      </c>
      <c r="F70" s="121" t="str">
        <f>'SU 09002'!B5</f>
        <v>Tie rod insert</v>
      </c>
      <c r="G70" s="120"/>
      <c r="H70" s="122">
        <f t="shared" si="26"/>
        <v>1.6908095579918243</v>
      </c>
      <c r="I70" s="126">
        <f>SU_09002_q</f>
        <v>2</v>
      </c>
      <c r="J70" s="123">
        <f>SU_09002_m</f>
        <v>0.15730955799182431</v>
      </c>
      <c r="K70" s="123">
        <f>SU_09002_p</f>
        <v>1.5335000000000001</v>
      </c>
      <c r="L70" s="123">
        <v>0</v>
      </c>
      <c r="M70" s="123">
        <v>0</v>
      </c>
      <c r="N70" s="124">
        <f t="shared" si="27"/>
        <v>3.3816191159836486</v>
      </c>
      <c r="O70" s="125"/>
    </row>
    <row r="71" spans="1:15" ht="14.4" x14ac:dyDescent="0.3">
      <c r="A71" s="119"/>
      <c r="B71" s="798" t="str">
        <f>'SU A0800'!$B$3</f>
        <v>Suspension &amp; Shocks</v>
      </c>
      <c r="C71" s="794" t="str">
        <f>SU_09003</f>
        <v>SU 09003</v>
      </c>
      <c r="D71" s="120" t="s">
        <v>11</v>
      </c>
      <c r="E71" s="120" t="str">
        <f t="shared" si="28"/>
        <v>Front Pullrod</v>
      </c>
      <c r="F71" s="1059" t="str">
        <f>'SU 09003'!B5</f>
        <v>Spacer 1</v>
      </c>
      <c r="G71" s="120"/>
      <c r="H71" s="122">
        <f t="shared" si="26"/>
        <v>0.75842010136988647</v>
      </c>
      <c r="I71" s="126">
        <f>SU_09003_q</f>
        <v>2</v>
      </c>
      <c r="J71" s="123">
        <f>SU_09003_m</f>
        <v>5.6820101369886439E-2</v>
      </c>
      <c r="K71" s="123">
        <f>SU_09003_p</f>
        <v>0.7016</v>
      </c>
      <c r="L71" s="123">
        <v>0</v>
      </c>
      <c r="M71" s="123">
        <v>0</v>
      </c>
      <c r="N71" s="124">
        <f t="shared" si="27"/>
        <v>1.5168402027397729</v>
      </c>
      <c r="O71" s="125"/>
    </row>
    <row r="72" spans="1:15" ht="14.4" x14ac:dyDescent="0.3">
      <c r="A72" s="119"/>
      <c r="B72" s="798" t="str">
        <f>'SU A0800'!$B$3</f>
        <v>Suspension &amp; Shocks</v>
      </c>
      <c r="C72" s="794" t="str">
        <f>SU_09004</f>
        <v>SU 09004</v>
      </c>
      <c r="D72" s="120" t="s">
        <v>11</v>
      </c>
      <c r="E72" s="120" t="str">
        <f t="shared" si="28"/>
        <v>Front Pullrod</v>
      </c>
      <c r="F72" s="1059" t="str">
        <f>'SU 09004'!B5</f>
        <v>Spacer 2</v>
      </c>
      <c r="G72" s="120"/>
      <c r="H72" s="122">
        <f t="shared" ref="H72:H76" si="29">SUM(J72:M72)</f>
        <v>0.85844020273977284</v>
      </c>
      <c r="I72" s="126">
        <f>SU_09004_q</f>
        <v>2</v>
      </c>
      <c r="J72" s="123">
        <f>SU_09004_m</f>
        <v>0.11364020273977288</v>
      </c>
      <c r="K72" s="123">
        <f>SU_09004_p</f>
        <v>0.74480000000000002</v>
      </c>
      <c r="L72" s="123">
        <v>0</v>
      </c>
      <c r="M72" s="123">
        <v>0</v>
      </c>
      <c r="N72" s="124">
        <f t="shared" ref="N72:N76" si="30">H72*I72</f>
        <v>1.7168804054795457</v>
      </c>
      <c r="O72" s="125"/>
    </row>
    <row r="73" spans="1:15" ht="14.4" x14ac:dyDescent="0.3">
      <c r="A73" s="112"/>
      <c r="B73" s="706" t="str">
        <f>'SU A0600'!$B$3</f>
        <v>Suspension &amp; Shocks</v>
      </c>
      <c r="C73" s="114" t="str">
        <f>SU_A1000</f>
        <v>SU A1000</v>
      </c>
      <c r="D73" s="114" t="s">
        <v>11</v>
      </c>
      <c r="E73" s="114"/>
      <c r="F73" s="274" t="str">
        <f>'SU A1000'!B4</f>
        <v>Front Uprights</v>
      </c>
      <c r="G73" s="114"/>
      <c r="H73" s="115">
        <f t="shared" si="29"/>
        <v>19.722085718251193</v>
      </c>
      <c r="I73" s="691">
        <f>SU_A1000_q</f>
        <v>2</v>
      </c>
      <c r="J73" s="116">
        <v>0</v>
      </c>
      <c r="K73" s="116">
        <f>SU_A1000_p</f>
        <v>15.46</v>
      </c>
      <c r="L73" s="116">
        <f>SU_A1000_f</f>
        <v>4.2620857182511926</v>
      </c>
      <c r="M73" s="116">
        <v>0</v>
      </c>
      <c r="N73" s="117">
        <f t="shared" si="30"/>
        <v>39.444171436502387</v>
      </c>
      <c r="O73" s="118"/>
    </row>
    <row r="74" spans="1:15" ht="14.4" x14ac:dyDescent="0.3">
      <c r="A74" s="119"/>
      <c r="B74" s="714" t="str">
        <f>'SU A0600'!$B$3</f>
        <v>Suspension &amp; Shocks</v>
      </c>
      <c r="C74" s="794" t="str">
        <f>SU_10001</f>
        <v>SU 10001</v>
      </c>
      <c r="D74" s="120" t="s">
        <v>11</v>
      </c>
      <c r="E74" s="120" t="str">
        <f>$F$73</f>
        <v>Front Uprights</v>
      </c>
      <c r="F74" s="121" t="str">
        <f>'SU 10001'!B5</f>
        <v>Front Upright</v>
      </c>
      <c r="G74" s="120"/>
      <c r="H74" s="122">
        <f t="shared" si="29"/>
        <v>99.563970000000012</v>
      </c>
      <c r="I74" s="692">
        <f>SU_10001_q</f>
        <v>1</v>
      </c>
      <c r="J74" s="123">
        <f>SU_10001_m</f>
        <v>25.84197</v>
      </c>
      <c r="K74" s="123">
        <f>SU_10001_p</f>
        <v>73.722000000000008</v>
      </c>
      <c r="L74" s="123">
        <v>0</v>
      </c>
      <c r="M74" s="123">
        <v>0</v>
      </c>
      <c r="N74" s="124">
        <f t="shared" si="30"/>
        <v>99.563970000000012</v>
      </c>
      <c r="O74" s="125"/>
    </row>
    <row r="75" spans="1:15" ht="14.4" x14ac:dyDescent="0.3">
      <c r="A75" s="119"/>
      <c r="B75" s="798" t="str">
        <f>'SU A0800'!$B$3</f>
        <v>Suspension &amp; Shocks</v>
      </c>
      <c r="C75" s="794" t="str">
        <f>SU_10002</f>
        <v>SU 10002</v>
      </c>
      <c r="D75" s="120" t="s">
        <v>11</v>
      </c>
      <c r="E75" s="120" t="str">
        <f t="shared" ref="E75:E77" si="31">$F$73</f>
        <v>Front Uprights</v>
      </c>
      <c r="F75" s="121" t="str">
        <f>'SU 10002'!B5</f>
        <v>Upper Arm Wedge</v>
      </c>
      <c r="G75" s="120"/>
      <c r="H75" s="122">
        <f t="shared" si="29"/>
        <v>2.5052785600000003</v>
      </c>
      <c r="I75" s="126">
        <f>SU_10002_q</f>
        <v>1</v>
      </c>
      <c r="J75" s="123">
        <f>SU_10002_m</f>
        <v>0.21527856000000004</v>
      </c>
      <c r="K75" s="123">
        <f>SU_10002_p</f>
        <v>2.29</v>
      </c>
      <c r="L75" s="123">
        <v>0</v>
      </c>
      <c r="M75" s="123">
        <v>0</v>
      </c>
      <c r="N75" s="124">
        <f t="shared" si="30"/>
        <v>2.5052785600000003</v>
      </c>
      <c r="O75" s="125"/>
    </row>
    <row r="76" spans="1:15" ht="14.4" x14ac:dyDescent="0.3">
      <c r="A76" s="119"/>
      <c r="B76" s="798" t="str">
        <f>'SU A0800'!$B$3</f>
        <v>Suspension &amp; Shocks</v>
      </c>
      <c r="C76" s="794" t="str">
        <f>SU_10003</f>
        <v>SU 10003</v>
      </c>
      <c r="D76" s="120" t="s">
        <v>11</v>
      </c>
      <c r="E76" s="120" t="str">
        <f t="shared" si="31"/>
        <v>Front Uprights</v>
      </c>
      <c r="F76" s="1060" t="str">
        <f>'SU 10003'!B5</f>
        <v>Upper Arm Bracket</v>
      </c>
      <c r="G76" s="120"/>
      <c r="H76" s="122">
        <f t="shared" si="29"/>
        <v>18.677843750000001</v>
      </c>
      <c r="I76" s="126">
        <f>SU_10003_q</f>
        <v>1</v>
      </c>
      <c r="J76" s="123">
        <f>SU_10003_m</f>
        <v>2.7818437500000002</v>
      </c>
      <c r="K76" s="123">
        <f>SU_10003_p</f>
        <v>15.896000000000001</v>
      </c>
      <c r="L76" s="123">
        <v>0</v>
      </c>
      <c r="M76" s="123">
        <v>0</v>
      </c>
      <c r="N76" s="124">
        <f t="shared" si="30"/>
        <v>18.677843750000001</v>
      </c>
      <c r="O76" s="125"/>
    </row>
    <row r="77" spans="1:15" ht="14.4" x14ac:dyDescent="0.3">
      <c r="A77" s="119"/>
      <c r="B77" s="798" t="str">
        <f>'SU A0800'!$B$3</f>
        <v>Suspension &amp; Shocks</v>
      </c>
      <c r="C77" s="794" t="str">
        <f>SU_10004</f>
        <v>SU 10004</v>
      </c>
      <c r="D77" s="120" t="s">
        <v>11</v>
      </c>
      <c r="E77" s="120" t="str">
        <f t="shared" si="31"/>
        <v>Front Uprights</v>
      </c>
      <c r="F77" s="1060" t="str">
        <f>'SU 10004'!B5</f>
        <v>Speed Sensor Bracket</v>
      </c>
      <c r="G77" s="120"/>
      <c r="H77" s="122">
        <f t="shared" ref="H77" si="32">SUM(J77:M77)</f>
        <v>0.83572750000000007</v>
      </c>
      <c r="I77" s="126">
        <f>SU_10004_q</f>
        <v>1</v>
      </c>
      <c r="J77" s="123">
        <f>SU_10004_m</f>
        <v>2.4727499999999999E-2</v>
      </c>
      <c r="K77" s="123">
        <f>SU_10004_p</f>
        <v>0.81100000000000005</v>
      </c>
      <c r="L77" s="123">
        <v>0</v>
      </c>
      <c r="M77" s="123">
        <v>0</v>
      </c>
      <c r="N77" s="124">
        <f t="shared" ref="N77" si="33">H77*I77</f>
        <v>0.83572750000000007</v>
      </c>
      <c r="O77" s="125"/>
    </row>
    <row r="78" spans="1:15" ht="14.4" x14ac:dyDescent="0.3">
      <c r="A78" s="119"/>
      <c r="B78" s="798" t="str">
        <f>'SU A0800'!$B$3</f>
        <v>Suspension &amp; Shocks</v>
      </c>
      <c r="C78" s="794" t="str">
        <f>SU_10005</f>
        <v>SU 10005</v>
      </c>
      <c r="D78" s="120" t="s">
        <v>11</v>
      </c>
      <c r="E78" s="120" t="str">
        <f>$F$73</f>
        <v>Front Uprights</v>
      </c>
      <c r="F78" s="1060" t="str">
        <f>'SU 10005'!B5</f>
        <v>Camber adjustment shim</v>
      </c>
      <c r="G78" s="120"/>
      <c r="H78" s="122">
        <f t="shared" ref="H78:H83" si="34">SUM(J78:M78)</f>
        <v>0.42691833333333334</v>
      </c>
      <c r="I78" s="126">
        <f>SU_10005_q</f>
        <v>15</v>
      </c>
      <c r="J78" s="123">
        <f>SU_10005_m</f>
        <v>6.3585000000000003E-2</v>
      </c>
      <c r="K78" s="123">
        <f>SU_10005_p</f>
        <v>0.36333333333333334</v>
      </c>
      <c r="L78" s="123">
        <v>0</v>
      </c>
      <c r="M78" s="123">
        <v>0</v>
      </c>
      <c r="N78" s="124">
        <f t="shared" ref="N78:N83" si="35">H78*I78</f>
        <v>6.4037750000000004</v>
      </c>
      <c r="O78" s="125"/>
    </row>
    <row r="79" spans="1:15" ht="14.4" x14ac:dyDescent="0.3">
      <c r="A79" s="112"/>
      <c r="B79" s="706" t="str">
        <f>'SU A0600'!$B$3</f>
        <v>Suspension &amp; Shocks</v>
      </c>
      <c r="C79" s="114" t="str">
        <f>SU_A1100</f>
        <v>SU A1100</v>
      </c>
      <c r="D79" s="114" t="s">
        <v>11</v>
      </c>
      <c r="E79" s="114"/>
      <c r="F79" s="274" t="str">
        <f>'SU A1100 '!B4</f>
        <v>Rear Uprights</v>
      </c>
      <c r="G79" s="114"/>
      <c r="H79" s="115">
        <f t="shared" si="34"/>
        <v>20.592085718251191</v>
      </c>
      <c r="I79" s="691">
        <f>SU_A1100_q</f>
        <v>2</v>
      </c>
      <c r="J79" s="116">
        <v>0</v>
      </c>
      <c r="K79" s="116">
        <f>SU_A1100_p</f>
        <v>16.329999999999998</v>
      </c>
      <c r="L79" s="116">
        <f>SU_A1100_f</f>
        <v>4.2620857182511926</v>
      </c>
      <c r="M79" s="116">
        <v>0</v>
      </c>
      <c r="N79" s="117">
        <f t="shared" si="35"/>
        <v>41.184171436502382</v>
      </c>
      <c r="O79" s="118"/>
    </row>
    <row r="80" spans="1:15" ht="14.4" x14ac:dyDescent="0.3">
      <c r="A80" s="119"/>
      <c r="B80" s="714" t="str">
        <f>'SU A0600'!$B$3</f>
        <v>Suspension &amp; Shocks</v>
      </c>
      <c r="C80" s="794" t="str">
        <f>SU_11001</f>
        <v>SU 11001</v>
      </c>
      <c r="D80" s="120" t="s">
        <v>11</v>
      </c>
      <c r="E80" s="120" t="str">
        <f>$F$79</f>
        <v>Rear Uprights</v>
      </c>
      <c r="F80" s="121" t="str">
        <f>'SU 11001'!B5</f>
        <v>Rear Upright</v>
      </c>
      <c r="G80" s="120"/>
      <c r="H80" s="122">
        <f t="shared" si="34"/>
        <v>106.51997000000001</v>
      </c>
      <c r="I80" s="692">
        <f>SU_11001_q</f>
        <v>1</v>
      </c>
      <c r="J80" s="123">
        <f>SU_11001_m</f>
        <v>25.84197</v>
      </c>
      <c r="K80" s="123">
        <f>SU_11001_p</f>
        <v>80.678000000000011</v>
      </c>
      <c r="L80" s="123">
        <v>0</v>
      </c>
      <c r="M80" s="123">
        <v>0</v>
      </c>
      <c r="N80" s="124">
        <f t="shared" si="35"/>
        <v>106.51997000000001</v>
      </c>
      <c r="O80" s="125"/>
    </row>
    <row r="81" spans="1:15" ht="14.4" x14ac:dyDescent="0.3">
      <c r="A81" s="119"/>
      <c r="B81" s="798" t="str">
        <f>'SU A0800'!$B$3</f>
        <v>Suspension &amp; Shocks</v>
      </c>
      <c r="C81" s="794" t="str">
        <f>SU_11002</f>
        <v>SU 11002</v>
      </c>
      <c r="D81" s="120" t="s">
        <v>11</v>
      </c>
      <c r="E81" s="120" t="str">
        <f t="shared" ref="E81:E83" si="36">$F$79</f>
        <v>Rear Uprights</v>
      </c>
      <c r="F81" s="121" t="str">
        <f>'SU 11002'!B5</f>
        <v>Upper Arm Bracket</v>
      </c>
      <c r="G81" s="120"/>
      <c r="H81" s="122">
        <f t="shared" si="34"/>
        <v>21.194420000000001</v>
      </c>
      <c r="I81" s="126">
        <f>SU_11002_q</f>
        <v>1</v>
      </c>
      <c r="J81" s="123">
        <f>SU_11002_m</f>
        <v>3.3064199999999997</v>
      </c>
      <c r="K81" s="123">
        <f>SU_11002_p</f>
        <v>17.888000000000002</v>
      </c>
      <c r="L81" s="123">
        <v>0</v>
      </c>
      <c r="M81" s="123">
        <v>0</v>
      </c>
      <c r="N81" s="124">
        <f t="shared" si="35"/>
        <v>21.194420000000001</v>
      </c>
      <c r="O81" s="125"/>
    </row>
    <row r="82" spans="1:15" ht="14.4" x14ac:dyDescent="0.3">
      <c r="A82" s="119"/>
      <c r="B82" s="798" t="str">
        <f>'SU A0800'!$B$3</f>
        <v>Suspension &amp; Shocks</v>
      </c>
      <c r="C82" s="794" t="str">
        <f>SU_11003</f>
        <v>SU 11003</v>
      </c>
      <c r="D82" s="120" t="s">
        <v>11</v>
      </c>
      <c r="E82" s="120" t="str">
        <f t="shared" si="36"/>
        <v>Rear Uprights</v>
      </c>
      <c r="F82" s="1060" t="str">
        <f>'SU 11003'!B5</f>
        <v>Speed Sensor Bracket</v>
      </c>
      <c r="G82" s="120"/>
      <c r="H82" s="122">
        <f t="shared" si="34"/>
        <v>0.82576020000000006</v>
      </c>
      <c r="I82" s="126">
        <f>SU_11003_q</f>
        <v>1</v>
      </c>
      <c r="J82" s="123">
        <f>SU_11003_m</f>
        <v>2.17602E-2</v>
      </c>
      <c r="K82" s="123">
        <f>SU_11003_p</f>
        <v>0.80400000000000005</v>
      </c>
      <c r="L82" s="123">
        <v>0</v>
      </c>
      <c r="M82" s="123">
        <v>0</v>
      </c>
      <c r="N82" s="124">
        <f t="shared" si="35"/>
        <v>0.82576020000000006</v>
      </c>
      <c r="O82" s="125"/>
    </row>
    <row r="83" spans="1:15" ht="14.4" x14ac:dyDescent="0.3">
      <c r="A83" s="119"/>
      <c r="B83" s="798" t="str">
        <f>'SU A0800'!$B$3</f>
        <v>Suspension &amp; Shocks</v>
      </c>
      <c r="C83" s="794" t="str">
        <f>SU_11004</f>
        <v>SU 11004</v>
      </c>
      <c r="D83" s="120" t="s">
        <v>11</v>
      </c>
      <c r="E83" s="120" t="str">
        <f t="shared" si="36"/>
        <v>Rear Uprights</v>
      </c>
      <c r="F83" s="1060" t="str">
        <f>'SU 11004'!B5</f>
        <v>Camber adjustment shim</v>
      </c>
      <c r="G83" s="120"/>
      <c r="H83" s="122">
        <f t="shared" si="34"/>
        <v>0.42454853333333331</v>
      </c>
      <c r="I83" s="126">
        <f>SU_11004_q</f>
        <v>15</v>
      </c>
      <c r="J83" s="123">
        <f>SU_11004_m</f>
        <v>7.1215199999999992E-2</v>
      </c>
      <c r="K83" s="123">
        <f>SU_11004_p</f>
        <v>0.35333333333333333</v>
      </c>
      <c r="L83" s="123">
        <v>0</v>
      </c>
      <c r="M83" s="123">
        <v>0</v>
      </c>
      <c r="N83" s="124">
        <f t="shared" si="35"/>
        <v>6.3682279999999993</v>
      </c>
      <c r="O83" s="125"/>
    </row>
    <row r="84" spans="1:15" ht="14.4" x14ac:dyDescent="0.3">
      <c r="A84" s="119"/>
      <c r="B84" s="798"/>
      <c r="C84" s="1061"/>
      <c r="D84" s="120"/>
      <c r="E84" s="120"/>
      <c r="F84" s="1060"/>
      <c r="G84" s="120"/>
      <c r="H84" s="122"/>
      <c r="I84" s="126"/>
      <c r="J84" s="123"/>
      <c r="K84" s="123"/>
      <c r="L84" s="123"/>
      <c r="M84" s="123"/>
      <c r="N84" s="124"/>
      <c r="O84" s="125"/>
    </row>
    <row r="85" spans="1:15" ht="14.4" x14ac:dyDescent="0.3">
      <c r="A85" s="119"/>
      <c r="B85" s="798"/>
      <c r="C85" s="1061"/>
      <c r="D85" s="120"/>
      <c r="E85" s="120"/>
      <c r="F85" s="1060"/>
      <c r="G85" s="120"/>
      <c r="H85" s="122"/>
      <c r="I85" s="126"/>
      <c r="J85" s="123"/>
      <c r="K85" s="123"/>
      <c r="L85" s="123"/>
      <c r="M85" s="123"/>
      <c r="N85" s="124"/>
      <c r="O85" s="125"/>
    </row>
    <row r="86" spans="1:15" ht="14.4" x14ac:dyDescent="0.3">
      <c r="A86" s="119"/>
      <c r="B86" s="798"/>
      <c r="C86" s="1061"/>
      <c r="D86" s="120"/>
      <c r="E86" s="120"/>
      <c r="F86" s="1060"/>
      <c r="G86" s="120"/>
      <c r="H86" s="122"/>
      <c r="I86" s="126"/>
      <c r="J86" s="123"/>
      <c r="K86" s="123"/>
      <c r="L86" s="123"/>
      <c r="M86" s="123"/>
      <c r="N86" s="124"/>
      <c r="O86" s="125"/>
    </row>
    <row r="87" spans="1:15" ht="14.4" x14ac:dyDescent="0.3">
      <c r="A87" s="119"/>
      <c r="B87" s="798"/>
      <c r="C87" s="1061"/>
      <c r="D87" s="120"/>
      <c r="E87" s="120"/>
      <c r="F87" s="1060"/>
      <c r="G87" s="120"/>
      <c r="H87" s="122"/>
      <c r="I87" s="126"/>
      <c r="J87" s="123"/>
      <c r="K87" s="123"/>
      <c r="L87" s="123"/>
      <c r="M87" s="123"/>
      <c r="N87" s="124"/>
      <c r="O87" s="125"/>
    </row>
    <row r="88" spans="1:15" ht="14.4" x14ac:dyDescent="0.3">
      <c r="A88" s="119"/>
      <c r="B88" s="798"/>
      <c r="C88" s="1061"/>
      <c r="D88" s="120"/>
      <c r="E88" s="120"/>
      <c r="F88" s="1060"/>
      <c r="G88" s="120"/>
      <c r="H88" s="122"/>
      <c r="I88" s="126"/>
      <c r="J88" s="123"/>
      <c r="K88" s="123"/>
      <c r="L88" s="123"/>
      <c r="M88" s="123"/>
      <c r="N88" s="124"/>
      <c r="O88" s="125"/>
    </row>
    <row r="89" spans="1:15" ht="14.4" x14ac:dyDescent="0.3">
      <c r="A89" s="119"/>
      <c r="B89" s="798"/>
      <c r="C89" s="1061"/>
      <c r="D89" s="120"/>
      <c r="E89" s="120"/>
      <c r="F89" s="1060"/>
      <c r="G89" s="120"/>
      <c r="H89" s="122"/>
      <c r="I89" s="126"/>
      <c r="J89" s="123"/>
      <c r="K89" s="123"/>
      <c r="L89" s="123"/>
      <c r="M89" s="123"/>
      <c r="N89" s="124"/>
      <c r="O89" s="125"/>
    </row>
    <row r="90" spans="1:15" ht="14.4" x14ac:dyDescent="0.3">
      <c r="A90" s="119"/>
      <c r="B90" s="798"/>
      <c r="C90" s="1061"/>
      <c r="D90" s="120"/>
      <c r="E90" s="120"/>
      <c r="F90" s="1060"/>
      <c r="G90" s="120"/>
      <c r="H90" s="122"/>
      <c r="I90" s="126"/>
      <c r="J90" s="123"/>
      <c r="K90" s="123"/>
      <c r="L90" s="123"/>
      <c r="M90" s="123"/>
      <c r="N90" s="124"/>
      <c r="O90" s="125"/>
    </row>
    <row r="91" spans="1:15" ht="14.4" x14ac:dyDescent="0.3">
      <c r="A91" s="119"/>
      <c r="B91" s="798"/>
      <c r="C91" s="1061"/>
      <c r="D91" s="120"/>
      <c r="E91" s="120"/>
      <c r="F91" s="1060"/>
      <c r="G91" s="120"/>
      <c r="H91" s="122"/>
      <c r="I91" s="126"/>
      <c r="J91" s="123"/>
      <c r="K91" s="123"/>
      <c r="L91" s="123"/>
      <c r="M91" s="123"/>
      <c r="N91" s="124"/>
      <c r="O91" s="125"/>
    </row>
    <row r="92" spans="1:15" ht="14.4" x14ac:dyDescent="0.3">
      <c r="A92" s="119"/>
      <c r="B92" s="798"/>
      <c r="C92" s="1061"/>
      <c r="D92" s="120"/>
      <c r="E92" s="120"/>
      <c r="F92" s="1060"/>
      <c r="G92" s="120"/>
      <c r="H92" s="122"/>
      <c r="I92" s="126"/>
      <c r="J92" s="123"/>
      <c r="K92" s="123"/>
      <c r="L92" s="123"/>
      <c r="M92" s="123"/>
      <c r="N92" s="124"/>
      <c r="O92" s="125"/>
    </row>
    <row r="93" spans="1:15" ht="14.4" x14ac:dyDescent="0.3">
      <c r="A93" s="119"/>
      <c r="B93" s="798"/>
      <c r="C93" s="1061"/>
      <c r="D93" s="120"/>
      <c r="E93" s="120"/>
      <c r="F93" s="1060"/>
      <c r="G93" s="120"/>
      <c r="H93" s="122"/>
      <c r="I93" s="126"/>
      <c r="J93" s="123"/>
      <c r="K93" s="123"/>
      <c r="L93" s="123"/>
      <c r="M93" s="123"/>
      <c r="N93" s="124"/>
      <c r="O93" s="125"/>
    </row>
    <row r="94" spans="1:15" ht="15" customHeight="1" x14ac:dyDescent="0.3">
      <c r="A94" s="119"/>
      <c r="B94" s="119"/>
      <c r="C94" s="120"/>
      <c r="D94" s="120"/>
      <c r="E94" s="120"/>
      <c r="F94" s="121"/>
      <c r="G94" s="120"/>
      <c r="H94" s="122"/>
      <c r="I94" s="126"/>
      <c r="J94" s="123"/>
      <c r="K94" s="123"/>
      <c r="L94" s="123"/>
      <c r="M94" s="123"/>
      <c r="N94" s="124"/>
      <c r="O94" s="125"/>
    </row>
    <row r="95" spans="1:15" ht="14.4" x14ac:dyDescent="0.3">
      <c r="A95" s="112"/>
      <c r="B95" s="112"/>
      <c r="C95" s="114"/>
      <c r="D95" s="114"/>
      <c r="E95" s="114"/>
      <c r="F95" s="274"/>
      <c r="G95" s="114"/>
      <c r="H95" s="115"/>
      <c r="I95" s="151"/>
      <c r="J95" s="116"/>
      <c r="K95" s="116"/>
      <c r="L95" s="116"/>
      <c r="M95" s="116"/>
      <c r="N95" s="117"/>
      <c r="O95" s="118"/>
    </row>
    <row r="96" spans="1:15" ht="15" thickBot="1" x14ac:dyDescent="0.35">
      <c r="A96" s="273"/>
      <c r="B96" s="273" t="s">
        <v>129</v>
      </c>
      <c r="C96" s="266"/>
      <c r="D96" s="266"/>
      <c r="E96" s="266"/>
      <c r="F96" s="267"/>
      <c r="G96" s="266"/>
      <c r="H96" s="268"/>
      <c r="I96" s="269"/>
      <c r="J96" s="270"/>
      <c r="K96" s="270"/>
      <c r="L96" s="270"/>
      <c r="M96" s="270"/>
      <c r="N96" s="271"/>
      <c r="O96" s="272"/>
    </row>
    <row r="97" spans="1:15" s="12" customFormat="1" ht="15" thickTop="1" thickBot="1" x14ac:dyDescent="0.3">
      <c r="A97" s="5"/>
      <c r="B97" s="41" t="str">
        <f>[1]SU_A0200!B3</f>
        <v>Suspension &amp; Shocks</v>
      </c>
      <c r="C97" s="1"/>
      <c r="D97" s="1"/>
      <c r="E97" s="1"/>
      <c r="F97" s="41" t="s">
        <v>59</v>
      </c>
      <c r="G97" s="1"/>
      <c r="H97" s="3"/>
      <c r="I97" s="4"/>
      <c r="J97" s="96">
        <f>SUMPRODUCT($I7:$I94,J7:J94)</f>
        <v>1749.3852682437569</v>
      </c>
      <c r="K97" s="96">
        <f>SUMPRODUCT($I7:$I94,K7:K94)</f>
        <v>706.79962378771256</v>
      </c>
      <c r="L97" s="96">
        <f>SUMPRODUCT($I7:$I94,L7:L94)</f>
        <v>26.377041497054201</v>
      </c>
      <c r="M97" s="96">
        <f>SUMPRODUCT($I7:$I94,M7:M94)</f>
        <v>14.666666666666664</v>
      </c>
      <c r="N97" s="96">
        <f>SUM(N7:N94)</f>
        <v>2497.2286001951893</v>
      </c>
      <c r="O97" s="2"/>
    </row>
    <row r="98" spans="1:15" ht="13.8" thickTop="1" x14ac:dyDescent="0.25">
      <c r="A98" s="11"/>
      <c r="B98" s="42"/>
      <c r="C98" s="13"/>
      <c r="D98" s="13"/>
      <c r="E98" s="13"/>
      <c r="F98" s="13"/>
      <c r="G98" s="13"/>
      <c r="H98" s="8"/>
      <c r="I98" s="13"/>
      <c r="J98" s="13"/>
      <c r="K98" s="13"/>
      <c r="L98" s="13"/>
      <c r="M98" s="13"/>
      <c r="N98" s="13"/>
    </row>
    <row r="99" spans="1:15" x14ac:dyDescent="0.25">
      <c r="A99" s="11"/>
      <c r="B99" s="42"/>
      <c r="C99" s="13"/>
      <c r="D99" s="13"/>
      <c r="E99" s="13"/>
      <c r="F99" s="13"/>
      <c r="G99" s="13"/>
      <c r="H99" s="8"/>
      <c r="I99" s="13"/>
      <c r="J99" s="13"/>
      <c r="K99" s="13"/>
      <c r="L99" s="13"/>
      <c r="M99" s="13"/>
      <c r="N99" s="13"/>
    </row>
    <row r="100" spans="1:15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5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45"/>
    </row>
    <row r="102" spans="1:15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5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45"/>
    </row>
    <row r="104" spans="1:15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5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5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5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5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5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5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5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5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5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5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5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5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5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5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5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5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5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5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x14ac:dyDescent="0.25">
      <c r="A123" s="11"/>
      <c r="B123" s="11"/>
      <c r="D123" s="13"/>
      <c r="E123" s="13"/>
      <c r="G123" s="13"/>
      <c r="H123" s="13"/>
      <c r="I123" s="8"/>
      <c r="J123" s="8"/>
      <c r="K123" s="8"/>
      <c r="L123" s="8"/>
      <c r="M123" s="8"/>
      <c r="N123" s="13"/>
    </row>
    <row r="124" spans="1:14" x14ac:dyDescent="0.25">
      <c r="A124" s="11"/>
      <c r="B124" s="11"/>
      <c r="D124" s="13"/>
      <c r="E124" s="13"/>
      <c r="G124" s="13"/>
      <c r="H124" s="13"/>
      <c r="I124" s="8"/>
      <c r="J124" s="8"/>
      <c r="K124" s="8"/>
      <c r="L124" s="8"/>
      <c r="M124" s="8"/>
      <c r="N124" s="13"/>
    </row>
    <row r="125" spans="1:14" x14ac:dyDescent="0.25">
      <c r="A125" s="11"/>
      <c r="B125" s="11"/>
      <c r="D125" s="13"/>
      <c r="E125" s="13"/>
      <c r="G125" s="13"/>
      <c r="H125" s="13"/>
      <c r="I125" s="8"/>
      <c r="J125" s="8"/>
      <c r="K125" s="8"/>
      <c r="L125" s="8"/>
      <c r="M125" s="8"/>
      <c r="N125" s="13"/>
    </row>
    <row r="126" spans="1:14" x14ac:dyDescent="0.25">
      <c r="A126" s="11"/>
      <c r="B126" s="11"/>
      <c r="D126" s="13"/>
      <c r="E126" s="13"/>
      <c r="G126" s="13"/>
      <c r="H126" s="13"/>
      <c r="I126" s="8"/>
      <c r="J126" s="8"/>
      <c r="K126" s="8"/>
      <c r="L126" s="8"/>
      <c r="M126" s="8"/>
      <c r="N126" s="13"/>
    </row>
    <row r="127" spans="1:14" x14ac:dyDescent="0.25">
      <c r="A127" s="11"/>
      <c r="B127" s="11"/>
      <c r="D127" s="13"/>
      <c r="E127" s="13"/>
      <c r="G127" s="13"/>
      <c r="H127" s="13"/>
      <c r="I127" s="8"/>
      <c r="J127" s="8"/>
      <c r="K127" s="8"/>
      <c r="L127" s="8"/>
      <c r="M127" s="8"/>
      <c r="N127" s="13"/>
    </row>
    <row r="128" spans="1:14" s="9" customFormat="1" x14ac:dyDescent="0.25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5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5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5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5">
      <c r="A132" s="7"/>
      <c r="B132" s="11"/>
      <c r="F132" s="42"/>
      <c r="I132" s="6"/>
      <c r="J132" s="6"/>
      <c r="K132" s="6"/>
      <c r="L132" s="6"/>
      <c r="M132" s="6"/>
    </row>
    <row r="133" spans="1:14" s="9" customFormat="1" x14ac:dyDescent="0.25">
      <c r="A133" s="7"/>
      <c r="B133" s="11"/>
      <c r="F133" s="42"/>
      <c r="I133" s="6"/>
      <c r="J133" s="6"/>
      <c r="K133" s="6"/>
      <c r="L133" s="6"/>
      <c r="M133" s="6"/>
    </row>
    <row r="134" spans="1:14" s="9" customFormat="1" x14ac:dyDescent="0.25">
      <c r="A134" s="7"/>
      <c r="B134" s="11"/>
      <c r="F134" s="42"/>
      <c r="I134" s="6"/>
      <c r="J134" s="6"/>
      <c r="K134" s="6"/>
      <c r="L134" s="6"/>
      <c r="M134" s="6"/>
    </row>
    <row r="135" spans="1:14" s="9" customFormat="1" x14ac:dyDescent="0.25">
      <c r="A135" s="7"/>
      <c r="B135" s="11"/>
      <c r="F135" s="42"/>
      <c r="I135" s="6"/>
      <c r="J135" s="6"/>
      <c r="K135" s="6"/>
      <c r="L135" s="6"/>
      <c r="M135" s="6"/>
    </row>
    <row r="136" spans="1:14" s="9" customFormat="1" x14ac:dyDescent="0.25">
      <c r="A136" s="7"/>
      <c r="B136" s="11"/>
      <c r="F136" s="42"/>
      <c r="I136" s="6"/>
      <c r="J136" s="6"/>
      <c r="K136" s="6"/>
      <c r="L136" s="6"/>
      <c r="M136" s="6"/>
    </row>
    <row r="137" spans="1:14" s="9" customFormat="1" x14ac:dyDescent="0.25">
      <c r="A137" s="7"/>
      <c r="B137" s="11"/>
      <c r="F137" s="42"/>
      <c r="I137" s="6"/>
      <c r="J137" s="6"/>
      <c r="K137" s="6"/>
      <c r="L137" s="6"/>
      <c r="M137" s="6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5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5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5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5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5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5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5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5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5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5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  <row r="239" spans="1:14" s="10" customFormat="1" x14ac:dyDescent="0.25">
      <c r="A239" s="7"/>
      <c r="B239" s="11"/>
      <c r="C239" s="9"/>
      <c r="D239" s="9"/>
      <c r="E239" s="9"/>
      <c r="F239" s="42"/>
      <c r="G239" s="9"/>
      <c r="H239" s="9"/>
      <c r="I239" s="6"/>
      <c r="J239" s="6"/>
      <c r="K239" s="6"/>
      <c r="L239" s="6"/>
      <c r="M239" s="6"/>
      <c r="N239" s="9"/>
    </row>
    <row r="240" spans="1:14" s="10" customFormat="1" x14ac:dyDescent="0.25">
      <c r="A240" s="7"/>
      <c r="B240" s="11"/>
      <c r="C240" s="9"/>
      <c r="D240" s="9"/>
      <c r="E240" s="9"/>
      <c r="F240" s="42"/>
      <c r="G240" s="9"/>
      <c r="H240" s="9"/>
      <c r="I240" s="6"/>
      <c r="J240" s="6"/>
      <c r="K240" s="6"/>
      <c r="L240" s="6"/>
      <c r="M240" s="6"/>
      <c r="N240" s="9"/>
    </row>
    <row r="241" spans="1:14" s="10" customFormat="1" x14ac:dyDescent="0.25">
      <c r="A241" s="7"/>
      <c r="B241" s="11"/>
      <c r="C241" s="9"/>
      <c r="D241" s="9"/>
      <c r="E241" s="9"/>
      <c r="F241" s="42"/>
      <c r="G241" s="9"/>
      <c r="H241" s="9"/>
      <c r="I241" s="6"/>
      <c r="J241" s="6"/>
      <c r="K241" s="6"/>
      <c r="L241" s="6"/>
      <c r="M241" s="6"/>
      <c r="N241" s="9"/>
    </row>
    <row r="242" spans="1:14" s="10" customFormat="1" x14ac:dyDescent="0.25">
      <c r="A242" s="7"/>
      <c r="B242" s="11"/>
      <c r="C242" s="9"/>
      <c r="D242" s="9"/>
      <c r="E242" s="9"/>
      <c r="F242" s="42"/>
      <c r="G242" s="9"/>
      <c r="H242" s="9"/>
      <c r="I242" s="6"/>
      <c r="J242" s="6"/>
      <c r="K242" s="6"/>
      <c r="L242" s="6"/>
      <c r="M242" s="6"/>
      <c r="N242" s="9"/>
    </row>
    <row r="243" spans="1:14" s="10" customFormat="1" x14ac:dyDescent="0.25">
      <c r="A243" s="7"/>
      <c r="B243" s="11"/>
      <c r="C243" s="9"/>
      <c r="D243" s="9"/>
      <c r="E243" s="9"/>
      <c r="F243" s="42"/>
      <c r="G243" s="9"/>
      <c r="H243" s="9"/>
      <c r="I243" s="6"/>
      <c r="J243" s="6"/>
      <c r="K243" s="6"/>
      <c r="L243" s="6"/>
      <c r="M243" s="6"/>
      <c r="N243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  <hyperlink ref="F80" location="SU_11001" display="SU_11001"/>
    <hyperlink ref="F81" location="SU_11002" display="SU_11002"/>
    <hyperlink ref="F79" location="SU_A1100" display="SU_A1100"/>
    <hyperlink ref="F82" location="SU_11003" display="SU_11003"/>
    <hyperlink ref="F83" location="SU_11004" display="SU_11004"/>
  </hyperlinks>
  <pageMargins left="0.41" right="0.22" top="0.72" bottom="0.57999999999999996" header="0.5" footer="0.26"/>
  <pageSetup paperSize="119" scale="57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SU_01010_m+SU_01010_p</f>
        <v>1.3143274375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291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287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4.4705750000000002E-2</v>
      </c>
      <c r="F11" s="322" t="s">
        <v>212</v>
      </c>
      <c r="G11" s="322"/>
      <c r="H11" s="323"/>
      <c r="I11" s="324" t="s">
        <v>280</v>
      </c>
      <c r="J11" s="325">
        <v>1.139E-3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0.10058793749999999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2.2780000000000001E-3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2.2780000000000002E-2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0.1233679375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57.6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11.7</v>
      </c>
      <c r="G17" s="310"/>
      <c r="H17" s="334"/>
      <c r="I17" s="306">
        <f>IF(H17="",D17*F17,D17*F17*H17)</f>
        <v>0.11699999999999999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2.2780000000000001E-3</v>
      </c>
      <c r="G20" s="310"/>
      <c r="H20" s="334"/>
      <c r="I20" s="313">
        <f>F20*D20</f>
        <v>1.19595E-2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1.1909594999999999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7" t="s">
        <v>287</v>
      </c>
    </row>
  </sheetData>
  <hyperlinks>
    <hyperlink ref="B1" location="SU_01010" display="SU_01010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277">
        <v>0.37972487499999996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292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288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4.9847500000000003E-2</v>
      </c>
      <c r="F11" s="322" t="s">
        <v>212</v>
      </c>
      <c r="G11" s="322"/>
      <c r="H11" s="323"/>
      <c r="I11" s="324" t="s">
        <v>280</v>
      </c>
      <c r="J11" s="325">
        <v>1.2700000000000001E-3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0.11215687500000002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2.5400000000000002E-3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2.5400000000000002E-2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0.13755687500000002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28.2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11.5</v>
      </c>
      <c r="G17" s="310"/>
      <c r="H17" s="334"/>
      <c r="I17" s="306">
        <f>IF(H17="",D17*F17,D17*F17*H17)</f>
        <v>0.115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2.5400000000000002E-3</v>
      </c>
      <c r="G20" s="310"/>
      <c r="H20" s="334"/>
      <c r="I20" s="313">
        <f>F20*D20</f>
        <v>1.3335000000000001E-2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1.1903350000000001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288</v>
      </c>
    </row>
  </sheetData>
  <hyperlinks>
    <hyperlink ref="B1" location="SU_01011" display="SU_01011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workbookViewId="0">
      <selection activeCell="B16" sqref="B16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480" t="s">
        <v>0</v>
      </c>
      <c r="B2" s="351" t="s">
        <v>37</v>
      </c>
      <c r="C2" s="352"/>
      <c r="D2" s="352"/>
      <c r="E2" s="353" t="s">
        <v>126</v>
      </c>
      <c r="F2" s="352"/>
      <c r="G2" s="352"/>
      <c r="H2" s="352"/>
      <c r="I2" s="352"/>
      <c r="J2" s="480" t="s">
        <v>1</v>
      </c>
      <c r="K2" s="355">
        <v>81</v>
      </c>
      <c r="L2" s="352"/>
      <c r="M2" s="480" t="s">
        <v>2</v>
      </c>
      <c r="N2" s="481">
        <f>SU_A0200_pa+SU_A0200_m+SU_A0200_p+SU_A0200_f</f>
        <v>82.266310687787325</v>
      </c>
      <c r="O2" s="357"/>
    </row>
    <row r="3" spans="1:15" x14ac:dyDescent="0.3">
      <c r="A3" s="480" t="s">
        <v>3</v>
      </c>
      <c r="B3" s="351" t="s">
        <v>129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480" t="s">
        <v>4</v>
      </c>
      <c r="N3" s="359">
        <v>2</v>
      </c>
      <c r="O3" s="357"/>
    </row>
    <row r="4" spans="1:15" x14ac:dyDescent="0.3">
      <c r="A4" s="480" t="s">
        <v>5</v>
      </c>
      <c r="B4" s="352" t="s">
        <v>176</v>
      </c>
      <c r="C4" s="352"/>
      <c r="D4" s="352"/>
      <c r="E4" s="352"/>
      <c r="F4" s="352"/>
      <c r="G4" s="352"/>
      <c r="H4" s="352"/>
      <c r="I4" s="352"/>
      <c r="J4" s="482" t="s">
        <v>6</v>
      </c>
      <c r="K4" s="352"/>
      <c r="L4" s="352"/>
      <c r="M4" s="352"/>
      <c r="N4" s="352"/>
      <c r="O4" s="357"/>
    </row>
    <row r="5" spans="1:15" x14ac:dyDescent="0.3">
      <c r="A5" s="480" t="s">
        <v>7</v>
      </c>
      <c r="B5" s="395" t="s">
        <v>177</v>
      </c>
      <c r="C5" s="352"/>
      <c r="D5" s="352"/>
      <c r="E5" s="352"/>
      <c r="F5" s="352"/>
      <c r="G5" s="352"/>
      <c r="H5" s="352"/>
      <c r="I5" s="352"/>
      <c r="J5" s="482" t="s">
        <v>8</v>
      </c>
      <c r="K5" s="352"/>
      <c r="L5" s="352"/>
      <c r="M5" s="480" t="s">
        <v>9</v>
      </c>
      <c r="N5" s="356">
        <f>N2*N3</f>
        <v>164.53262137557465</v>
      </c>
      <c r="O5" s="357"/>
    </row>
    <row r="6" spans="1:15" x14ac:dyDescent="0.3">
      <c r="A6" s="480" t="s">
        <v>10</v>
      </c>
      <c r="B6" s="351"/>
      <c r="C6" s="352"/>
      <c r="D6" s="352"/>
      <c r="E6" s="352"/>
      <c r="F6" s="352"/>
      <c r="G6" s="352"/>
      <c r="H6" s="352"/>
      <c r="I6" s="352"/>
      <c r="J6" s="482" t="s">
        <v>12</v>
      </c>
      <c r="K6" s="352"/>
      <c r="L6" s="352"/>
      <c r="M6" s="352"/>
      <c r="N6" s="352"/>
      <c r="O6" s="357"/>
    </row>
    <row r="7" spans="1:15" x14ac:dyDescent="0.3">
      <c r="A7" s="480" t="s">
        <v>13</v>
      </c>
      <c r="B7" s="351"/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85"/>
      <c r="B8" s="352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480" t="s">
        <v>14</v>
      </c>
      <c r="B9" s="480" t="s">
        <v>15</v>
      </c>
      <c r="C9" s="480" t="s">
        <v>16</v>
      </c>
      <c r="D9" s="480" t="s">
        <v>17</v>
      </c>
      <c r="E9" s="480" t="s">
        <v>18</v>
      </c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402">
        <v>10</v>
      </c>
      <c r="B10" s="483" t="str">
        <f>'SU 02001'!B5</f>
        <v>Lower Front Bearing Support</v>
      </c>
      <c r="C10" s="356">
        <f>'SU 02001'!N2</f>
        <v>9.1140000000000008</v>
      </c>
      <c r="D10" s="484">
        <f>SU_02001_q</f>
        <v>1</v>
      </c>
      <c r="E10" s="356">
        <f t="shared" ref="E10:E20" si="0">C10*D10</f>
        <v>9.1140000000000008</v>
      </c>
      <c r="F10" s="352"/>
      <c r="G10" s="352"/>
      <c r="H10" s="352"/>
      <c r="I10" s="352"/>
      <c r="J10" s="352"/>
      <c r="K10" s="352"/>
      <c r="L10" s="352"/>
      <c r="M10" s="352"/>
      <c r="N10" s="352"/>
      <c r="O10" s="357"/>
    </row>
    <row r="11" spans="1:15" x14ac:dyDescent="0.3">
      <c r="A11" s="402">
        <v>20</v>
      </c>
      <c r="B11" s="483" t="str">
        <f>'SU 02002'!B5</f>
        <v>Inner Bearing Support</v>
      </c>
      <c r="C11" s="356">
        <f>'SU 02002'!N2</f>
        <v>3.3353805440000004</v>
      </c>
      <c r="D11" s="402">
        <f>SU_02002_q</f>
        <v>2</v>
      </c>
      <c r="E11" s="356">
        <f t="shared" si="0"/>
        <v>6.6707610880000008</v>
      </c>
      <c r="F11" s="352"/>
      <c r="G11" s="352"/>
      <c r="H11" s="352"/>
      <c r="I11" s="352"/>
      <c r="J11" s="352"/>
      <c r="K11" s="352"/>
      <c r="L11" s="352"/>
      <c r="M11" s="352"/>
      <c r="N11" s="352"/>
      <c r="O11" s="357"/>
    </row>
    <row r="12" spans="1:15" x14ac:dyDescent="0.3">
      <c r="A12" s="402">
        <v>30</v>
      </c>
      <c r="B12" s="483" t="str">
        <f>'SU 02003'!B5</f>
        <v>Lower Front A-arm tube (Front)  Carbon Fiber Tube</v>
      </c>
      <c r="C12" s="356">
        <f>'SU 02003'!N2</f>
        <v>11.220746039999998</v>
      </c>
      <c r="D12" s="484">
        <f>SU_02003_q</f>
        <v>1</v>
      </c>
      <c r="E12" s="356">
        <f t="shared" si="0"/>
        <v>11.220746039999998</v>
      </c>
      <c r="F12" s="352"/>
      <c r="G12" s="352"/>
      <c r="H12" s="352"/>
      <c r="I12" s="352"/>
      <c r="J12" s="352"/>
      <c r="K12" s="352"/>
      <c r="L12" s="352"/>
      <c r="M12" s="352"/>
      <c r="N12" s="352"/>
      <c r="O12" s="485"/>
    </row>
    <row r="13" spans="1:15" s="17" customFormat="1" x14ac:dyDescent="0.3">
      <c r="A13" s="402">
        <v>40</v>
      </c>
      <c r="B13" s="483" t="str">
        <f>'SU 02004'!B5</f>
        <v>Lower Front A-arm tube (Back)  Carbon Fiber Tube</v>
      </c>
      <c r="C13" s="356">
        <f>'SU 02004'!N2</f>
        <v>10.001779199999998</v>
      </c>
      <c r="D13" s="402">
        <f>SU_02004_q</f>
        <v>1</v>
      </c>
      <c r="E13" s="356">
        <f t="shared" si="0"/>
        <v>10.001779199999998</v>
      </c>
      <c r="F13" s="352"/>
      <c r="G13" s="352"/>
      <c r="H13" s="352"/>
      <c r="I13" s="352"/>
      <c r="J13" s="352"/>
      <c r="K13" s="352"/>
      <c r="L13" s="352"/>
      <c r="M13" s="352"/>
      <c r="N13" s="352"/>
      <c r="O13" s="485"/>
    </row>
    <row r="14" spans="1:15" s="17" customFormat="1" x14ac:dyDescent="0.3">
      <c r="A14" s="402">
        <v>50</v>
      </c>
      <c r="B14" s="483" t="str">
        <f>'SU 02005'!B5</f>
        <v>Spacer 1</v>
      </c>
      <c r="C14" s="356">
        <f>'SU 02005'!N2</f>
        <v>1.0541703760000001</v>
      </c>
      <c r="D14" s="484">
        <f>SU_02005_q</f>
        <v>2</v>
      </c>
      <c r="E14" s="356">
        <f t="shared" si="0"/>
        <v>2.1083407520000002</v>
      </c>
      <c r="F14" s="352"/>
      <c r="G14" s="352"/>
      <c r="H14" s="352"/>
      <c r="I14" s="352"/>
      <c r="J14" s="352"/>
      <c r="K14" s="352"/>
      <c r="L14" s="352"/>
      <c r="M14" s="352"/>
      <c r="N14" s="352"/>
      <c r="O14" s="357"/>
    </row>
    <row r="15" spans="1:15" s="17" customFormat="1" x14ac:dyDescent="0.3">
      <c r="A15" s="402">
        <v>60</v>
      </c>
      <c r="B15" s="483" t="str">
        <f>'SU 02006'!B5</f>
        <v>Spacer 2</v>
      </c>
      <c r="C15" s="356">
        <f>'SU 02006'!N2</f>
        <v>1.1551782399999999</v>
      </c>
      <c r="D15" s="402">
        <f>SU_02006_q</f>
        <v>4</v>
      </c>
      <c r="E15" s="356">
        <f t="shared" si="0"/>
        <v>4.6207129599999996</v>
      </c>
      <c r="F15" s="352"/>
      <c r="G15" s="352"/>
      <c r="H15" s="352"/>
      <c r="I15" s="352"/>
      <c r="J15" s="352"/>
      <c r="K15" s="352"/>
      <c r="L15" s="352"/>
      <c r="M15" s="352"/>
      <c r="N15" s="352"/>
      <c r="O15" s="357"/>
    </row>
    <row r="16" spans="1:15" s="17" customFormat="1" x14ac:dyDescent="0.3">
      <c r="A16" s="487">
        <v>70</v>
      </c>
      <c r="B16" s="511" t="str">
        <f>'SU 02007'!B5</f>
        <v>Outboard A-arm Insert</v>
      </c>
      <c r="C16" s="490">
        <f>'SU 02007'!N2</f>
        <v>0.47719727680000001</v>
      </c>
      <c r="D16" s="512">
        <f>SU_02007_q</f>
        <v>2</v>
      </c>
      <c r="E16" s="490">
        <f t="shared" si="0"/>
        <v>0.95439455360000003</v>
      </c>
      <c r="F16" s="352"/>
      <c r="G16" s="352"/>
      <c r="H16" s="352"/>
      <c r="I16" s="352"/>
      <c r="J16" s="352"/>
      <c r="K16" s="352"/>
      <c r="L16" s="352"/>
      <c r="M16" s="352"/>
      <c r="N16" s="352"/>
      <c r="O16" s="357"/>
    </row>
    <row r="17" spans="1:15" s="17" customFormat="1" x14ac:dyDescent="0.3">
      <c r="A17" s="496">
        <v>80</v>
      </c>
      <c r="B17" s="576" t="str">
        <f>'SU 02008'!B5</f>
        <v>Front up bracket</v>
      </c>
      <c r="C17" s="502">
        <f>'SU 02008'!N2</f>
        <v>1.3868720000000001</v>
      </c>
      <c r="D17" s="486">
        <f>SU_02008_q</f>
        <v>1</v>
      </c>
      <c r="E17" s="502">
        <f t="shared" si="0"/>
        <v>1.3868720000000001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02009'!B5</f>
        <v>Front down bracket</v>
      </c>
      <c r="C18" s="502">
        <f>'SU 02009'!N2</f>
        <v>1.4357435000000001</v>
      </c>
      <c r="D18" s="486">
        <f>SU_02009_q</f>
        <v>1</v>
      </c>
      <c r="E18" s="502">
        <f t="shared" si="0"/>
        <v>1.4357435000000001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02010'!B5</f>
        <v>Rear Up bracket</v>
      </c>
      <c r="C19" s="502">
        <f>'SU 02010'!N2</f>
        <v>1.3315549999999998</v>
      </c>
      <c r="D19" s="486">
        <f>SU_02010_q</f>
        <v>1</v>
      </c>
      <c r="E19" s="502">
        <f t="shared" si="0"/>
        <v>1.3315549999999998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02011'!B5</f>
        <v>Rear down bracket</v>
      </c>
      <c r="C20" s="502">
        <f>'SU 02011'!N2</f>
        <v>1.41506025</v>
      </c>
      <c r="D20" s="486">
        <f>SU_02011_q</f>
        <v>1</v>
      </c>
      <c r="E20" s="502">
        <f t="shared" si="0"/>
        <v>1.41506025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385"/>
      <c r="B21" s="352"/>
      <c r="C21" s="352"/>
      <c r="D21" s="513" t="s">
        <v>18</v>
      </c>
      <c r="E21" s="495">
        <f>SUM(E10:E16)</f>
        <v>44.690734593599991</v>
      </c>
      <c r="F21" s="352"/>
      <c r="G21" s="352"/>
      <c r="H21" s="352"/>
      <c r="I21" s="352"/>
      <c r="J21" s="352"/>
      <c r="K21" s="352"/>
      <c r="L21" s="352"/>
      <c r="M21" s="352"/>
      <c r="N21" s="352"/>
      <c r="O21" s="357"/>
    </row>
    <row r="22" spans="1:15" x14ac:dyDescent="0.3">
      <c r="A22" s="385"/>
      <c r="B22" s="352"/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7"/>
    </row>
    <row r="23" spans="1:15" x14ac:dyDescent="0.3">
      <c r="A23" s="493" t="s">
        <v>14</v>
      </c>
      <c r="B23" s="493" t="s">
        <v>19</v>
      </c>
      <c r="C23" s="493" t="s">
        <v>20</v>
      </c>
      <c r="D23" s="493" t="s">
        <v>21</v>
      </c>
      <c r="E23" s="493" t="s">
        <v>22</v>
      </c>
      <c r="F23" s="493" t="s">
        <v>23</v>
      </c>
      <c r="G23" s="493" t="s">
        <v>24</v>
      </c>
      <c r="H23" s="493" t="s">
        <v>25</v>
      </c>
      <c r="I23" s="493" t="s">
        <v>26</v>
      </c>
      <c r="J23" s="493" t="s">
        <v>27</v>
      </c>
      <c r="K23" s="493" t="s">
        <v>28</v>
      </c>
      <c r="L23" s="493" t="s">
        <v>29</v>
      </c>
      <c r="M23" s="493" t="s">
        <v>17</v>
      </c>
      <c r="N23" s="493" t="s">
        <v>18</v>
      </c>
      <c r="O23" s="357"/>
    </row>
    <row r="24" spans="1:15" ht="14.4" customHeight="1" x14ac:dyDescent="0.3">
      <c r="A24" s="496">
        <v>10</v>
      </c>
      <c r="B24" s="496" t="s">
        <v>131</v>
      </c>
      <c r="C24" s="496"/>
      <c r="D24" s="497">
        <f>0.03*E24^2+5</f>
        <v>6.92</v>
      </c>
      <c r="E24" s="496">
        <v>8</v>
      </c>
      <c r="F24" s="496" t="s">
        <v>30</v>
      </c>
      <c r="G24" s="496"/>
      <c r="H24" s="498"/>
      <c r="I24" s="499"/>
      <c r="J24" s="500"/>
      <c r="K24" s="498"/>
      <c r="L24" s="498"/>
      <c r="M24" s="501">
        <v>3</v>
      </c>
      <c r="N24" s="502">
        <f>M24*D24</f>
        <v>20.759999999999998</v>
      </c>
      <c r="O24" s="357"/>
    </row>
    <row r="25" spans="1:15" s="22" customFormat="1" ht="14.4" customHeight="1" x14ac:dyDescent="0.3">
      <c r="A25" s="496">
        <v>20</v>
      </c>
      <c r="B25" s="503" t="s">
        <v>136</v>
      </c>
      <c r="C25" s="504" t="s">
        <v>137</v>
      </c>
      <c r="D25" s="502"/>
      <c r="E25" s="505"/>
      <c r="F25" s="505">
        <v>95</v>
      </c>
      <c r="G25" s="505"/>
      <c r="H25" s="498"/>
      <c r="I25" s="506"/>
      <c r="J25" s="507"/>
      <c r="K25" s="508"/>
      <c r="L25" s="509"/>
      <c r="M25" s="510"/>
      <c r="N25" s="502">
        <f>M25*D25</f>
        <v>0</v>
      </c>
      <c r="O25" s="380"/>
    </row>
    <row r="26" spans="1:15" ht="31.8" customHeight="1" x14ac:dyDescent="0.3">
      <c r="A26" s="496">
        <v>30</v>
      </c>
      <c r="B26" s="503" t="s">
        <v>136</v>
      </c>
      <c r="C26" s="504" t="s">
        <v>138</v>
      </c>
      <c r="D26" s="502"/>
      <c r="E26" s="496"/>
      <c r="F26" s="496"/>
      <c r="G26" s="496"/>
      <c r="H26" s="498"/>
      <c r="I26" s="510"/>
      <c r="J26" s="501"/>
      <c r="K26" s="498"/>
      <c r="L26" s="509"/>
      <c r="M26" s="498"/>
      <c r="N26" s="502">
        <f>M26*D26</f>
        <v>0</v>
      </c>
      <c r="O26" s="357"/>
    </row>
    <row r="27" spans="1:15" x14ac:dyDescent="0.3">
      <c r="A27" s="381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494" t="s">
        <v>18</v>
      </c>
      <c r="N27" s="495">
        <f>SUM(N24:N26)</f>
        <v>20.759999999999998</v>
      </c>
      <c r="O27" s="357"/>
    </row>
    <row r="28" spans="1:15" x14ac:dyDescent="0.3">
      <c r="A28" s="385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7"/>
    </row>
    <row r="29" spans="1:15" s="25" customFormat="1" x14ac:dyDescent="0.3">
      <c r="A29" s="480" t="s">
        <v>14</v>
      </c>
      <c r="B29" s="480" t="s">
        <v>31</v>
      </c>
      <c r="C29" s="480" t="s">
        <v>20</v>
      </c>
      <c r="D29" s="480" t="s">
        <v>21</v>
      </c>
      <c r="E29" s="480" t="s">
        <v>32</v>
      </c>
      <c r="F29" s="480" t="s">
        <v>17</v>
      </c>
      <c r="G29" s="480" t="s">
        <v>33</v>
      </c>
      <c r="H29" s="480" t="s">
        <v>34</v>
      </c>
      <c r="I29" s="480" t="s">
        <v>18</v>
      </c>
      <c r="J29" s="382"/>
      <c r="K29" s="382"/>
      <c r="L29" s="382"/>
      <c r="M29" s="382"/>
      <c r="N29" s="382"/>
      <c r="O29" s="389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81"/>
      <c r="B52" s="382"/>
      <c r="C52" s="382"/>
      <c r="D52" s="382"/>
      <c r="E52" s="382"/>
      <c r="F52" s="382"/>
      <c r="G52" s="382"/>
      <c r="H52" s="488" t="s">
        <v>18</v>
      </c>
      <c r="I52" s="489">
        <f>SUM(I30:I51)</f>
        <v>16.033700000000003</v>
      </c>
      <c r="J52" s="352"/>
      <c r="K52" s="352"/>
      <c r="L52" s="352"/>
      <c r="M52" s="352"/>
      <c r="N52" s="352"/>
      <c r="O52" s="357"/>
    </row>
    <row r="53" spans="1:15" x14ac:dyDescent="0.3">
      <c r="A53" s="385"/>
      <c r="B53" s="352"/>
      <c r="C53" s="352"/>
      <c r="D53" s="352"/>
      <c r="E53" s="352"/>
      <c r="F53" s="352"/>
      <c r="G53" s="352"/>
      <c r="H53" s="352"/>
      <c r="I53" s="352"/>
      <c r="J53" s="352"/>
      <c r="K53" s="352"/>
      <c r="L53" s="352"/>
      <c r="M53" s="352"/>
      <c r="N53" s="352"/>
      <c r="O53" s="357"/>
    </row>
    <row r="54" spans="1:15" x14ac:dyDescent="0.3">
      <c r="A54" s="480" t="s">
        <v>14</v>
      </c>
      <c r="B54" s="480" t="s">
        <v>36</v>
      </c>
      <c r="C54" s="480" t="s">
        <v>20</v>
      </c>
      <c r="D54" s="480" t="s">
        <v>21</v>
      </c>
      <c r="E54" s="480" t="s">
        <v>22</v>
      </c>
      <c r="F54" s="480" t="s">
        <v>23</v>
      </c>
      <c r="G54" s="480" t="s">
        <v>24</v>
      </c>
      <c r="H54" s="480" t="s">
        <v>25</v>
      </c>
      <c r="I54" s="480" t="s">
        <v>17</v>
      </c>
      <c r="J54" s="480" t="s">
        <v>18</v>
      </c>
      <c r="K54" s="352"/>
      <c r="L54" s="352"/>
      <c r="M54" s="352"/>
      <c r="N54" s="352"/>
      <c r="O54" s="357"/>
    </row>
    <row r="55" spans="1:15" x14ac:dyDescent="0.3">
      <c r="A55" s="402">
        <v>10</v>
      </c>
      <c r="B55" s="491" t="s">
        <v>296</v>
      </c>
      <c r="C55" s="402" t="s">
        <v>147</v>
      </c>
      <c r="D55" s="356">
        <f>0.8/105154*E55^2*G55*SQRT(G55)+(0.003*EXP(0.319*E55))</f>
        <v>0.16167651505774214</v>
      </c>
      <c r="E55" s="492">
        <v>8</v>
      </c>
      <c r="F55" s="491" t="s">
        <v>30</v>
      </c>
      <c r="G55" s="492">
        <v>40</v>
      </c>
      <c r="H55" s="491" t="s">
        <v>30</v>
      </c>
      <c r="I55" s="492">
        <v>2</v>
      </c>
      <c r="J55" s="356">
        <f>D55*I55</f>
        <v>0.32335303011548427</v>
      </c>
      <c r="K55" s="352"/>
      <c r="L55" s="352"/>
      <c r="M55" s="352"/>
      <c r="N55" s="352"/>
      <c r="O55" s="357"/>
    </row>
    <row r="56" spans="1:15" x14ac:dyDescent="0.3">
      <c r="A56" s="402">
        <v>20</v>
      </c>
      <c r="B56" s="491" t="s">
        <v>296</v>
      </c>
      <c r="C56" s="402" t="s">
        <v>148</v>
      </c>
      <c r="D56" s="356">
        <f>0.8/105154*E56^2*G56*SQRT(G56)+(0.003*EXP(0.319*E56))</f>
        <v>0.26479118861318168</v>
      </c>
      <c r="E56" s="492">
        <v>8</v>
      </c>
      <c r="F56" s="491" t="s">
        <v>30</v>
      </c>
      <c r="G56" s="492">
        <v>60</v>
      </c>
      <c r="H56" s="491" t="s">
        <v>30</v>
      </c>
      <c r="I56" s="492">
        <v>1</v>
      </c>
      <c r="J56" s="356">
        <f>D56*I56</f>
        <v>0.26479118861318168</v>
      </c>
      <c r="K56" s="352"/>
      <c r="L56" s="352"/>
      <c r="M56" s="352"/>
      <c r="N56" s="352"/>
      <c r="O56" s="357"/>
    </row>
    <row r="57" spans="1:15" x14ac:dyDescent="0.3">
      <c r="A57" s="402">
        <v>30</v>
      </c>
      <c r="B57" s="491" t="s">
        <v>297</v>
      </c>
      <c r="C57" s="402" t="s">
        <v>150</v>
      </c>
      <c r="D57" s="356">
        <f>(0.009*EXP(0.2*E57))</f>
        <v>4.4577291819556032E-2</v>
      </c>
      <c r="E57" s="492">
        <v>8</v>
      </c>
      <c r="F57" s="491" t="s">
        <v>30</v>
      </c>
      <c r="G57" s="492"/>
      <c r="H57" s="491"/>
      <c r="I57" s="492">
        <v>3</v>
      </c>
      <c r="J57" s="356">
        <f>D57*I57</f>
        <v>0.1337318754586681</v>
      </c>
      <c r="K57" s="352"/>
      <c r="L57" s="352"/>
      <c r="M57" s="352"/>
      <c r="N57" s="352"/>
      <c r="O57" s="357"/>
    </row>
    <row r="58" spans="1:15" x14ac:dyDescent="0.3">
      <c r="A58" s="402">
        <v>40</v>
      </c>
      <c r="B58" s="491" t="s">
        <v>298</v>
      </c>
      <c r="C58" s="402" t="s">
        <v>152</v>
      </c>
      <c r="D58" s="356">
        <v>0.01</v>
      </c>
      <c r="E58" s="492">
        <v>8</v>
      </c>
      <c r="F58" s="491" t="s">
        <v>30</v>
      </c>
      <c r="G58" s="492"/>
      <c r="H58" s="491"/>
      <c r="I58" s="492">
        <v>6</v>
      </c>
      <c r="J58" s="356">
        <f>D58*I58</f>
        <v>0.06</v>
      </c>
      <c r="K58" s="388"/>
      <c r="L58" s="388"/>
      <c r="M58" s="388"/>
      <c r="N58" s="388"/>
      <c r="O58" s="357"/>
    </row>
    <row r="59" spans="1:15" x14ac:dyDescent="0.3">
      <c r="A59" s="381"/>
      <c r="B59" s="382"/>
      <c r="C59" s="382"/>
      <c r="D59" s="382"/>
      <c r="E59" s="382"/>
      <c r="F59" s="382"/>
      <c r="G59" s="382"/>
      <c r="H59" s="382"/>
      <c r="I59" s="488" t="s">
        <v>18</v>
      </c>
      <c r="J59" s="489">
        <f>SUM(J55:J58)</f>
        <v>0.78187609418733417</v>
      </c>
      <c r="K59" s="352"/>
      <c r="L59" s="352"/>
      <c r="M59" s="352"/>
      <c r="N59" s="352"/>
      <c r="O59" s="357"/>
    </row>
    <row r="60" spans="1:15" x14ac:dyDescent="0.3">
      <c r="A60" s="385"/>
      <c r="B60" s="352"/>
      <c r="C60" s="352"/>
      <c r="D60" s="352"/>
      <c r="E60" s="352"/>
      <c r="F60" s="352"/>
      <c r="G60" s="352"/>
      <c r="H60" s="352"/>
      <c r="I60" s="352"/>
      <c r="J60" s="352"/>
      <c r="K60" s="352"/>
      <c r="L60" s="352"/>
      <c r="M60" s="352"/>
      <c r="N60" s="352"/>
      <c r="O60" s="357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91"/>
      <c r="B64" s="392"/>
      <c r="C64" s="392"/>
      <c r="D64" s="392"/>
      <c r="E64" s="392"/>
      <c r="F64" s="392"/>
      <c r="G64" s="392"/>
      <c r="H64" s="392"/>
      <c r="I64" s="392"/>
      <c r="J64" s="392"/>
      <c r="K64" s="392"/>
      <c r="L64" s="392"/>
      <c r="M64" s="392"/>
      <c r="N64" s="392"/>
      <c r="O64" s="393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7" customFormat="1" ht="28.8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8.8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30</v>
      </c>
      <c r="G16" s="336" t="s">
        <v>264</v>
      </c>
      <c r="H16" s="524">
        <v>1</v>
      </c>
      <c r="I16" s="306">
        <f t="shared" si="0"/>
        <v>1.2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32.4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1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7</v>
      </c>
      <c r="G22" s="336" t="s">
        <v>264</v>
      </c>
      <c r="H22" s="524">
        <v>1</v>
      </c>
      <c r="I22" s="306">
        <f t="shared" si="0"/>
        <v>0.28000000000000003</v>
      </c>
      <c r="J22" s="533"/>
      <c r="K22" s="528"/>
      <c r="L22" s="528"/>
      <c r="M22" s="528"/>
      <c r="N22" s="528"/>
      <c r="O22" s="529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8749999999999998" right="0.78749999999999998" top="1.05277777777778" bottom="1.05277777777778" header="0.78749999999999998" footer="0.78749999999999998"/>
  <pageSetup paperSize="9" scale="5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Normal="100" workbookViewId="0">
      <selection activeCell="G2" sqref="G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34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87.573644973387331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175.14728994677466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71" t="str">
        <f>'SU 01007'!B5</f>
        <v>Outboard A-arm Insert</v>
      </c>
      <c r="C16" s="474">
        <f>'SU 01007'!N2</f>
        <v>0.47719727680000001</v>
      </c>
      <c r="D16" s="473">
        <f>SU_01007_q</f>
        <v>2</v>
      </c>
      <c r="E16" s="47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72" t="str">
        <f>'SU 01008'!B5</f>
        <v>Front up bracket</v>
      </c>
      <c r="C17" s="474">
        <f>'SU 01008'!N2</f>
        <v>1.3930602499999998</v>
      </c>
      <c r="D17" s="473">
        <f>SU_01008_q</f>
        <v>1</v>
      </c>
      <c r="E17" s="475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72" t="str">
        <f>'SU 01009'!B5</f>
        <v>Front down bracket</v>
      </c>
      <c r="C18" s="474">
        <f>'SU 01009'!N2</f>
        <v>1.3590899374999998</v>
      </c>
      <c r="D18" s="473">
        <f>SU_01009_q</f>
        <v>1</v>
      </c>
      <c r="E18" s="475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72" t="str">
        <f>'SU 01010'!B5</f>
        <v>Rear up bracket</v>
      </c>
      <c r="C19" s="474">
        <f>'SU 01010'!N2</f>
        <v>1.3143274375</v>
      </c>
      <c r="D19" s="473">
        <f>SU_01010_q</f>
        <v>1</v>
      </c>
      <c r="E19" s="475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72" t="str">
        <f>'SU 01011'!B5</f>
        <v>Rear down bracket</v>
      </c>
      <c r="C20" s="474">
        <f>'SU 01011'!N2</f>
        <v>0.37972487499999996</v>
      </c>
      <c r="D20" s="473">
        <f>SU_01011_q</f>
        <v>1</v>
      </c>
      <c r="E20" s="475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7"/>
      <c r="F25" s="577">
        <v>95</v>
      </c>
      <c r="G25" s="577"/>
      <c r="H25" s="241"/>
      <c r="I25" s="578"/>
      <c r="J25" s="579"/>
      <c r="K25" s="580"/>
      <c r="L25" s="243"/>
      <c r="M25" s="242"/>
      <c r="N25" s="240">
        <f>M25*D25</f>
        <v>0</v>
      </c>
      <c r="O25" s="66"/>
    </row>
    <row r="26" spans="1:15" ht="31.8" customHeight="1" x14ac:dyDescent="0.3">
      <c r="A26" s="582">
        <v>30</v>
      </c>
      <c r="B26" s="583" t="s">
        <v>136</v>
      </c>
      <c r="C26" s="584" t="s">
        <v>138</v>
      </c>
      <c r="D26" s="585"/>
      <c r="E26" s="582"/>
      <c r="F26" s="582"/>
      <c r="G26" s="582"/>
      <c r="H26" s="586"/>
      <c r="I26" s="587"/>
      <c r="J26" s="588"/>
      <c r="K26" s="586"/>
      <c r="L26" s="589"/>
      <c r="M26" s="586"/>
      <c r="N26" s="585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81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L16" sqref="L1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zoomScale="70" zoomScaleNormal="70" workbookViewId="0">
      <selection activeCell="G2" sqref="G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35"/>
      <c r="B1" s="536"/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7"/>
    </row>
    <row r="2" spans="1:17" x14ac:dyDescent="0.3">
      <c r="A2" s="435" t="s">
        <v>0</v>
      </c>
      <c r="B2" s="434" t="s">
        <v>37</v>
      </c>
      <c r="C2" s="467"/>
      <c r="D2" s="467"/>
      <c r="E2" s="467"/>
      <c r="F2" s="467"/>
      <c r="G2" s="437" t="s">
        <v>126</v>
      </c>
      <c r="H2" s="467"/>
      <c r="I2" s="467"/>
      <c r="J2" s="538" t="s">
        <v>1</v>
      </c>
      <c r="K2" s="539">
        <v>81</v>
      </c>
      <c r="L2" s="467"/>
      <c r="M2" s="435" t="s">
        <v>16</v>
      </c>
      <c r="N2" s="540">
        <f>N12+I18</f>
        <v>1.0541703760000001</v>
      </c>
      <c r="O2" s="541"/>
    </row>
    <row r="3" spans="1:17" x14ac:dyDescent="0.3">
      <c r="A3" s="435" t="s">
        <v>3</v>
      </c>
      <c r="B3" s="434" t="str">
        <f>'SU A0200'!B3</f>
        <v>Suspension &amp; Shocks</v>
      </c>
      <c r="C3" s="467"/>
      <c r="D3" s="435" t="s">
        <v>6</v>
      </c>
      <c r="E3" s="542" t="s">
        <v>86</v>
      </c>
      <c r="F3" s="467"/>
      <c r="G3" s="467"/>
      <c r="H3" s="467"/>
      <c r="I3" s="467"/>
      <c r="J3" s="467"/>
      <c r="K3" s="467"/>
      <c r="L3" s="467"/>
      <c r="M3" s="435" t="s">
        <v>4</v>
      </c>
      <c r="N3" s="543">
        <v>2</v>
      </c>
      <c r="O3" s="541"/>
    </row>
    <row r="4" spans="1:17" x14ac:dyDescent="0.3">
      <c r="A4" s="435" t="s">
        <v>5</v>
      </c>
      <c r="B4" s="437" t="s">
        <v>176</v>
      </c>
      <c r="C4" s="467"/>
      <c r="D4" s="435" t="s">
        <v>8</v>
      </c>
      <c r="E4" s="467"/>
      <c r="F4" s="467"/>
      <c r="G4" s="467"/>
      <c r="H4" s="467"/>
      <c r="I4" s="467"/>
      <c r="J4" s="544" t="s">
        <v>6</v>
      </c>
      <c r="K4" s="467"/>
      <c r="L4" s="467"/>
      <c r="M4" s="467"/>
      <c r="N4" s="467"/>
      <c r="O4" s="541"/>
    </row>
    <row r="5" spans="1:17" x14ac:dyDescent="0.3">
      <c r="A5" s="435" t="s">
        <v>15</v>
      </c>
      <c r="B5" s="545" t="s">
        <v>193</v>
      </c>
      <c r="C5" s="467"/>
      <c r="D5" s="435" t="s">
        <v>12</v>
      </c>
      <c r="E5" s="467"/>
      <c r="F5" s="467"/>
      <c r="G5" s="467"/>
      <c r="H5" s="467"/>
      <c r="I5" s="467"/>
      <c r="J5" s="544" t="s">
        <v>8</v>
      </c>
      <c r="K5" s="467"/>
      <c r="L5" s="467"/>
      <c r="M5" s="435" t="s">
        <v>9</v>
      </c>
      <c r="N5" s="540">
        <f>N3*N2</f>
        <v>2.1083407520000002</v>
      </c>
      <c r="O5" s="541"/>
    </row>
    <row r="6" spans="1:17" x14ac:dyDescent="0.3">
      <c r="A6" s="435" t="s">
        <v>7</v>
      </c>
      <c r="B6" s="439" t="s">
        <v>184</v>
      </c>
      <c r="C6" s="467"/>
      <c r="D6" s="467"/>
      <c r="E6" s="467"/>
      <c r="F6" s="467"/>
      <c r="G6" s="467"/>
      <c r="H6" s="467"/>
      <c r="I6" s="467"/>
      <c r="J6" s="544" t="s">
        <v>12</v>
      </c>
      <c r="K6" s="467"/>
      <c r="L6" s="467"/>
      <c r="M6" s="467"/>
      <c r="N6" s="467"/>
      <c r="O6" s="541"/>
    </row>
    <row r="7" spans="1:17" x14ac:dyDescent="0.3">
      <c r="A7" s="435" t="s">
        <v>10</v>
      </c>
      <c r="B7" s="434"/>
      <c r="C7" s="467"/>
      <c r="D7" s="467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541"/>
    </row>
    <row r="8" spans="1:17" x14ac:dyDescent="0.3">
      <c r="A8" s="435" t="s">
        <v>13</v>
      </c>
      <c r="B8" s="434"/>
      <c r="C8" s="467"/>
      <c r="D8" s="467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541"/>
    </row>
    <row r="9" spans="1:17" x14ac:dyDescent="0.3">
      <c r="A9" s="546"/>
      <c r="B9" s="547"/>
      <c r="C9" s="547"/>
      <c r="D9" s="547"/>
      <c r="E9" s="547"/>
      <c r="F9" s="467"/>
      <c r="G9" s="467"/>
      <c r="H9" s="467"/>
      <c r="I9" s="467"/>
      <c r="J9" s="467"/>
      <c r="K9" s="467"/>
      <c r="L9" s="467"/>
      <c r="M9" s="467"/>
      <c r="N9" s="467"/>
      <c r="O9" s="541"/>
    </row>
    <row r="10" spans="1:17" x14ac:dyDescent="0.3">
      <c r="A10" s="548" t="s">
        <v>14</v>
      </c>
      <c r="B10" s="549" t="s">
        <v>19</v>
      </c>
      <c r="C10" s="549" t="s">
        <v>20</v>
      </c>
      <c r="D10" s="549" t="s">
        <v>21</v>
      </c>
      <c r="E10" s="549" t="s">
        <v>22</v>
      </c>
      <c r="F10" s="550" t="s">
        <v>23</v>
      </c>
      <c r="G10" s="550" t="s">
        <v>24</v>
      </c>
      <c r="H10" s="550" t="s">
        <v>25</v>
      </c>
      <c r="I10" s="550" t="s">
        <v>26</v>
      </c>
      <c r="J10" s="550" t="s">
        <v>27</v>
      </c>
      <c r="K10" s="550" t="s">
        <v>28</v>
      </c>
      <c r="L10" s="550" t="s">
        <v>29</v>
      </c>
      <c r="M10" s="550" t="s">
        <v>17</v>
      </c>
      <c r="N10" s="550" t="s">
        <v>18</v>
      </c>
      <c r="O10" s="541"/>
    </row>
    <row r="11" spans="1:17" x14ac:dyDescent="0.3">
      <c r="A11" s="551">
        <v>10</v>
      </c>
      <c r="B11" s="552" t="s">
        <v>166</v>
      </c>
      <c r="C11" s="553" t="s">
        <v>38</v>
      </c>
      <c r="D11" s="554">
        <v>2.25</v>
      </c>
      <c r="E11" s="555">
        <f>J11*K11*L11/1000000000</f>
        <v>1.3409056000000001E-2</v>
      </c>
      <c r="F11" s="553" t="s">
        <v>162</v>
      </c>
      <c r="G11" s="553"/>
      <c r="H11" s="556"/>
      <c r="I11" s="557" t="s">
        <v>165</v>
      </c>
      <c r="J11" s="558">
        <f>3.14*8*8</f>
        <v>200.96</v>
      </c>
      <c r="K11" s="559">
        <v>8.5</v>
      </c>
      <c r="L11" s="560">
        <v>7850</v>
      </c>
      <c r="M11" s="561">
        <v>1</v>
      </c>
      <c r="N11" s="554">
        <f>D11*E11</f>
        <v>3.0170376000000002E-2</v>
      </c>
      <c r="O11" s="562"/>
      <c r="Q11" s="135"/>
    </row>
    <row r="12" spans="1:17" x14ac:dyDescent="0.3">
      <c r="A12" s="563"/>
      <c r="B12" s="564"/>
      <c r="C12" s="564"/>
      <c r="D12" s="564"/>
      <c r="E12" s="564"/>
      <c r="F12" s="564"/>
      <c r="G12" s="564"/>
      <c r="H12" s="564"/>
      <c r="I12" s="564"/>
      <c r="J12" s="564"/>
      <c r="K12" s="564"/>
      <c r="L12" s="564"/>
      <c r="M12" s="565" t="s">
        <v>18</v>
      </c>
      <c r="N12" s="566">
        <f>SUM(N11:N11)</f>
        <v>3.0170376000000002E-2</v>
      </c>
      <c r="O12" s="541"/>
    </row>
    <row r="13" spans="1:17" x14ac:dyDescent="0.3">
      <c r="A13" s="567"/>
      <c r="B13" s="467"/>
      <c r="C13" s="467"/>
      <c r="D13" s="467"/>
      <c r="E13" s="467"/>
      <c r="F13" s="467"/>
      <c r="G13" s="467"/>
      <c r="H13" s="467"/>
      <c r="I13" s="467"/>
      <c r="J13" s="467"/>
      <c r="K13" s="467"/>
      <c r="L13" s="467"/>
      <c r="M13" s="467"/>
      <c r="N13" s="467"/>
      <c r="O13" s="541"/>
    </row>
    <row r="14" spans="1:17" x14ac:dyDescent="0.3">
      <c r="A14" s="568" t="s">
        <v>14</v>
      </c>
      <c r="B14" s="550" t="s">
        <v>31</v>
      </c>
      <c r="C14" s="550" t="s">
        <v>20</v>
      </c>
      <c r="D14" s="550" t="s">
        <v>21</v>
      </c>
      <c r="E14" s="550" t="s">
        <v>32</v>
      </c>
      <c r="F14" s="550" t="s">
        <v>17</v>
      </c>
      <c r="G14" s="550" t="s">
        <v>33</v>
      </c>
      <c r="H14" s="550" t="s">
        <v>34</v>
      </c>
      <c r="I14" s="550" t="s">
        <v>18</v>
      </c>
      <c r="J14" s="564"/>
      <c r="K14" s="564"/>
      <c r="L14" s="564"/>
      <c r="M14" s="564"/>
      <c r="N14" s="564"/>
      <c r="O14" s="541"/>
    </row>
    <row r="15" spans="1:17" ht="31.2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0.2</v>
      </c>
      <c r="G16" s="397" t="s">
        <v>268</v>
      </c>
      <c r="H16" s="397">
        <v>3</v>
      </c>
      <c r="I16" s="346">
        <f>IF(H16="",D16*F16,D16*F16*H16)</f>
        <v>2.4E-2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563"/>
      <c r="B18" s="564"/>
      <c r="C18" s="564"/>
      <c r="D18" s="564"/>
      <c r="E18" s="564"/>
      <c r="F18" s="564"/>
      <c r="G18" s="564"/>
      <c r="H18" s="569" t="s">
        <v>18</v>
      </c>
      <c r="I18" s="566">
        <f>SUM(I15:I17)</f>
        <v>1.024</v>
      </c>
      <c r="J18" s="564"/>
      <c r="K18" s="564"/>
      <c r="L18" s="564"/>
      <c r="M18" s="564"/>
      <c r="N18" s="564"/>
      <c r="O18" s="541"/>
    </row>
    <row r="19" spans="1:15" ht="15" thickBot="1" x14ac:dyDescent="0.35">
      <c r="A19" s="570"/>
      <c r="B19" s="571"/>
      <c r="C19" s="571"/>
      <c r="D19" s="571"/>
      <c r="E19" s="571"/>
      <c r="F19" s="571"/>
      <c r="G19" s="571"/>
      <c r="H19" s="571"/>
      <c r="I19" s="571"/>
      <c r="J19" s="571"/>
      <c r="K19" s="571"/>
      <c r="L19" s="571"/>
      <c r="M19" s="571"/>
      <c r="N19" s="571"/>
      <c r="O19" s="572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3" sqref="N3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1.3868720000000001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1.3868720000000001</v>
      </c>
      <c r="O5" s="436"/>
    </row>
    <row r="6" spans="1:15" x14ac:dyDescent="0.3">
      <c r="A6" s="433" t="s">
        <v>7</v>
      </c>
      <c r="B6" s="439" t="s">
        <v>303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4.5215999999999999E-2</v>
      </c>
      <c r="F11" s="445" t="s">
        <v>212</v>
      </c>
      <c r="G11" s="445"/>
      <c r="H11" s="446"/>
      <c r="I11" s="447" t="s">
        <v>309</v>
      </c>
      <c r="J11" s="448">
        <f>0.048*0.024</f>
        <v>1.152E-3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0.10173600000000001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2.3040000000000001E-3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2.3040000000000001E-2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0.12477600000000001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4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15.5</v>
      </c>
      <c r="G17" s="453"/>
      <c r="H17" s="456"/>
      <c r="I17" s="457">
        <f>IF(H17="",D17*F17,D17*F17*H17)</f>
        <v>0.155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2.3040000000000001E-3</v>
      </c>
      <c r="G20" s="453"/>
      <c r="H20" s="456"/>
      <c r="I20" s="464">
        <f>F20*D20</f>
        <v>1.2096000000000001E-2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1.2620960000000001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" right="0.7" top="0.75" bottom="0.75" header="0.3" footer="0.3"/>
  <pageSetup paperSize="9"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303</v>
      </c>
    </row>
  </sheetData>
  <hyperlinks>
    <hyperlink ref="B1" location="SU_02008" display="SU_02008"/>
  </hyperlink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1.4357435000000001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1.4357435000000001</v>
      </c>
      <c r="O5" s="436"/>
    </row>
    <row r="6" spans="1:15" x14ac:dyDescent="0.3">
      <c r="A6" s="433" t="s">
        <v>7</v>
      </c>
      <c r="B6" s="439" t="s">
        <v>305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5.8717999999999999E-2</v>
      </c>
      <c r="F11" s="445" t="s">
        <v>212</v>
      </c>
      <c r="G11" s="445"/>
      <c r="H11" s="446"/>
      <c r="I11" s="447" t="s">
        <v>310</v>
      </c>
      <c r="J11" s="448">
        <f>0.068*0.022</f>
        <v>1.4959999999999999E-3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0.1321155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2.9919999999999999E-3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2.9919999999999999E-2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0.1620355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16.3</v>
      </c>
      <c r="G17" s="453"/>
      <c r="H17" s="456"/>
      <c r="I17" s="457">
        <f>IF(H17="",D17*F17,D17*F17*H17)</f>
        <v>0.16300000000000001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2.9919999999999999E-3</v>
      </c>
      <c r="G20" s="453"/>
      <c r="H20" s="456"/>
      <c r="I20" s="464">
        <f>F20*D20</f>
        <v>1.5708E-2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1.2737080000000001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workbookViewId="0">
      <selection activeCell="G2" sqref="G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7" t="s">
        <v>305</v>
      </c>
    </row>
  </sheetData>
  <hyperlinks>
    <hyperlink ref="B1" location="SU_02009" display="SU_02009"/>
  </hyperlink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1.3315549999999998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307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1.3315549999999998</v>
      </c>
      <c r="O5" s="436"/>
    </row>
    <row r="6" spans="1:15" x14ac:dyDescent="0.3">
      <c r="A6" s="433" t="s">
        <v>7</v>
      </c>
      <c r="B6" s="439" t="s">
        <v>306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9.4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3.4539999999999994E-2</v>
      </c>
      <c r="F11" s="445" t="s">
        <v>212</v>
      </c>
      <c r="G11" s="445"/>
      <c r="H11" s="446"/>
      <c r="I11" s="447" t="s">
        <v>311</v>
      </c>
      <c r="J11" s="448">
        <f>0.04*0.022</f>
        <v>8.7999999999999992E-4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7.7715000000000006E-2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1.7599999999999998E-3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1.7599999999999998E-2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9.5315000000000011E-2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3.8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13.2</v>
      </c>
      <c r="G17" s="453"/>
      <c r="H17" s="456"/>
      <c r="I17" s="457">
        <f>IF(H17="",D17*F17,D17*F17*H17)</f>
        <v>0.13200000000000001</v>
      </c>
      <c r="J17" s="311"/>
      <c r="K17" s="417"/>
      <c r="L17" s="417"/>
      <c r="M17" s="417"/>
      <c r="N17" s="417"/>
      <c r="O17" s="436"/>
    </row>
    <row r="18" spans="1:15" ht="28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6.4" customHeight="1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1.7599999999999998E-3</v>
      </c>
      <c r="G20" s="453"/>
      <c r="H20" s="456"/>
      <c r="I20" s="464">
        <f>F20*D20</f>
        <v>9.2399999999999999E-3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1.2362399999999998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306</v>
      </c>
    </row>
  </sheetData>
  <hyperlinks>
    <hyperlink ref="B1" location="SU_02010" display="SU_02010"/>
  </hyperlink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1.41506025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394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1.41506025</v>
      </c>
      <c r="O5" s="436"/>
    </row>
    <row r="6" spans="1:15" x14ac:dyDescent="0.3">
      <c r="A6" s="433" t="s">
        <v>7</v>
      </c>
      <c r="B6" s="439" t="s">
        <v>308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15.8</v>
      </c>
      <c r="G17" s="453"/>
      <c r="H17" s="456"/>
      <c r="I17" s="457">
        <f>IF(H17="",D17*F17,D17*F17*H17)</f>
        <v>0.158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1.2673220000000001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" right="0.7" top="0.75" bottom="0.75" header="0.3" footer="0.3"/>
  <pageSetup paperSize="9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"/>
  <sheetViews>
    <sheetView workbookViewId="0">
      <selection activeCell="A3" sqref="A3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6" sqref="B16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03008'!B5</f>
        <v>Front up bracket</v>
      </c>
      <c r="C17" s="502">
        <f>'SU 03008'!N2</f>
        <v>1.4969516249999999</v>
      </c>
      <c r="D17" s="486">
        <f>SU_03008_q</f>
        <v>1</v>
      </c>
      <c r="E17" s="502">
        <f t="shared" si="0"/>
        <v>1.4969516249999999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03009'!B5</f>
        <v>Front down bracket</v>
      </c>
      <c r="C18" s="502">
        <f>'SU 03009'!N2</f>
        <v>1.49211</v>
      </c>
      <c r="D18" s="486">
        <f>SU_03009_q</f>
        <v>1</v>
      </c>
      <c r="E18" s="502">
        <f t="shared" si="0"/>
        <v>1.49211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03010'!B5</f>
        <v>Rear up bracket</v>
      </c>
      <c r="C19" s="502">
        <f>'SU 03010'!N2</f>
        <v>1.2680301249999999</v>
      </c>
      <c r="D19" s="486">
        <f>SU_03010_q</f>
        <v>1</v>
      </c>
      <c r="E19" s="502">
        <f t="shared" si="0"/>
        <v>1.2680301249999999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03011'!B5</f>
        <v>Rear down bracket</v>
      </c>
      <c r="C20" s="502">
        <f>'SU 03011'!N2</f>
        <v>1.3787631249999999</v>
      </c>
      <c r="D20" s="486">
        <f>SU_03011_q</f>
        <v>1</v>
      </c>
      <c r="E20" s="502">
        <f t="shared" si="0"/>
        <v>1.3787631249999999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90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2" sqref="B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" right="0.7" top="0.75" bottom="0.75" header="0.3" footer="0.3"/>
  <pageSetup paperSize="9" fitToHeight="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L16" sqref="L16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</row>
    <row r="2" spans="1:17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N12+I21</f>
        <v>2.6577472800000002</v>
      </c>
      <c r="O2" s="600"/>
    </row>
    <row r="3" spans="1:17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2</v>
      </c>
      <c r="O3" s="600"/>
    </row>
    <row r="4" spans="1:17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</row>
    <row r="5" spans="1:17" x14ac:dyDescent="0.3">
      <c r="A5" s="594" t="s">
        <v>15</v>
      </c>
      <c r="B5" s="604" t="s">
        <v>193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5.3154945600000003</v>
      </c>
      <c r="O5" s="600"/>
    </row>
    <row r="6" spans="1:17" x14ac:dyDescent="0.3">
      <c r="A6" s="594" t="s">
        <v>7</v>
      </c>
      <c r="B6" s="605" t="s">
        <v>207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</row>
    <row r="7" spans="1:17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</row>
    <row r="8" spans="1:17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</row>
    <row r="9" spans="1:17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</row>
    <row r="10" spans="1:17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</row>
    <row r="11" spans="1:17" x14ac:dyDescent="0.3">
      <c r="A11" s="611">
        <v>10</v>
      </c>
      <c r="B11" s="612" t="s">
        <v>166</v>
      </c>
      <c r="C11" s="613" t="s">
        <v>38</v>
      </c>
      <c r="D11" s="614">
        <v>2.25</v>
      </c>
      <c r="E11" s="615">
        <f>J11*K11*L11/1000000000</f>
        <v>7.8876800000000011E-3</v>
      </c>
      <c r="F11" s="613" t="s">
        <v>162</v>
      </c>
      <c r="G11" s="613"/>
      <c r="H11" s="616"/>
      <c r="I11" s="617" t="s">
        <v>165</v>
      </c>
      <c r="J11" s="618">
        <f>3.14*8*8</f>
        <v>200.96</v>
      </c>
      <c r="K11" s="619">
        <v>5</v>
      </c>
      <c r="L11" s="620">
        <v>7850</v>
      </c>
      <c r="M11" s="621">
        <v>1</v>
      </c>
      <c r="N11" s="614">
        <f>D11*E11</f>
        <v>1.7747280000000004E-2</v>
      </c>
      <c r="O11" s="622"/>
      <c r="Q11" s="207"/>
    </row>
    <row r="12" spans="1:17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1.7747280000000004E-2</v>
      </c>
      <c r="O12" s="600"/>
    </row>
    <row r="13" spans="1:17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</row>
    <row r="14" spans="1:17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</row>
    <row r="15" spans="1:17" ht="28.8" x14ac:dyDescent="0.3">
      <c r="A15" s="629">
        <v>10</v>
      </c>
      <c r="B15" s="630" t="s">
        <v>39</v>
      </c>
      <c r="C15" s="631" t="s">
        <v>134</v>
      </c>
      <c r="D15" s="632">
        <v>1.3</v>
      </c>
      <c r="E15" s="630" t="s">
        <v>35</v>
      </c>
      <c r="F15" s="631">
        <v>1</v>
      </c>
      <c r="G15" s="631"/>
      <c r="H15" s="631"/>
      <c r="I15" s="632">
        <f t="shared" ref="I15:I20" si="0">IF(H15="",D15*F15,D15*F15*H15)</f>
        <v>1.3</v>
      </c>
      <c r="J15" s="633"/>
      <c r="K15" s="633"/>
      <c r="L15" s="633"/>
      <c r="M15" s="633"/>
      <c r="N15" s="633"/>
      <c r="O15" s="634"/>
    </row>
    <row r="16" spans="1:17" x14ac:dyDescent="0.3">
      <c r="A16" s="635">
        <v>20</v>
      </c>
      <c r="B16" s="636" t="s">
        <v>159</v>
      </c>
      <c r="C16" s="637" t="s">
        <v>167</v>
      </c>
      <c r="D16" s="614">
        <v>0.04</v>
      </c>
      <c r="E16" s="630" t="s">
        <v>161</v>
      </c>
      <c r="F16" s="638">
        <v>0.4</v>
      </c>
      <c r="G16" s="630"/>
      <c r="H16" s="637"/>
      <c r="I16" s="614">
        <f t="shared" si="0"/>
        <v>1.6E-2</v>
      </c>
      <c r="J16" s="595"/>
      <c r="K16" s="595"/>
      <c r="L16" s="595"/>
      <c r="M16" s="595"/>
      <c r="N16" s="595"/>
      <c r="O16" s="600"/>
    </row>
    <row r="17" spans="1:15" x14ac:dyDescent="0.3">
      <c r="A17" s="635">
        <v>30</v>
      </c>
      <c r="B17" s="636" t="s">
        <v>158</v>
      </c>
      <c r="C17" s="637" t="s">
        <v>160</v>
      </c>
      <c r="D17" s="614">
        <v>0.65</v>
      </c>
      <c r="E17" s="630" t="s">
        <v>35</v>
      </c>
      <c r="F17" s="637">
        <v>1</v>
      </c>
      <c r="G17" s="637"/>
      <c r="H17" s="637"/>
      <c r="I17" s="614">
        <f t="shared" si="0"/>
        <v>0.65</v>
      </c>
      <c r="J17" s="595"/>
      <c r="K17" s="595"/>
      <c r="L17" s="595"/>
      <c r="M17" s="595"/>
      <c r="N17" s="595"/>
      <c r="O17" s="600"/>
    </row>
    <row r="18" spans="1:15" x14ac:dyDescent="0.3">
      <c r="A18" s="635">
        <v>40</v>
      </c>
      <c r="B18" s="636" t="s">
        <v>159</v>
      </c>
      <c r="C18" s="637" t="s">
        <v>169</v>
      </c>
      <c r="D18" s="614">
        <v>0.04</v>
      </c>
      <c r="E18" s="630" t="s">
        <v>161</v>
      </c>
      <c r="F18" s="638">
        <v>0.56000000000000005</v>
      </c>
      <c r="G18" s="630"/>
      <c r="H18" s="637"/>
      <c r="I18" s="614">
        <f t="shared" si="0"/>
        <v>2.2400000000000003E-2</v>
      </c>
      <c r="J18" s="595"/>
      <c r="K18" s="595"/>
      <c r="L18" s="595"/>
      <c r="M18" s="595"/>
      <c r="N18" s="595"/>
      <c r="O18" s="600"/>
    </row>
    <row r="19" spans="1:15" x14ac:dyDescent="0.3">
      <c r="A19" s="635">
        <v>50</v>
      </c>
      <c r="B19" s="636" t="s">
        <v>158</v>
      </c>
      <c r="C19" s="637" t="s">
        <v>160</v>
      </c>
      <c r="D19" s="614">
        <v>0.65</v>
      </c>
      <c r="E19" s="630" t="s">
        <v>35</v>
      </c>
      <c r="F19" s="637">
        <v>1</v>
      </c>
      <c r="G19" s="637"/>
      <c r="H19" s="637"/>
      <c r="I19" s="614">
        <f t="shared" si="0"/>
        <v>0.65</v>
      </c>
      <c r="J19" s="595"/>
      <c r="K19" s="595"/>
      <c r="L19" s="595"/>
      <c r="M19" s="595"/>
      <c r="N19" s="595"/>
      <c r="O19" s="600"/>
    </row>
    <row r="20" spans="1:15" x14ac:dyDescent="0.3">
      <c r="A20" s="635">
        <v>60</v>
      </c>
      <c r="B20" s="636" t="s">
        <v>159</v>
      </c>
      <c r="C20" s="637" t="s">
        <v>168</v>
      </c>
      <c r="D20" s="614">
        <v>0.04</v>
      </c>
      <c r="E20" s="630" t="s">
        <v>161</v>
      </c>
      <c r="F20" s="637">
        <v>0.04</v>
      </c>
      <c r="G20" s="637"/>
      <c r="H20" s="637"/>
      <c r="I20" s="614">
        <f t="shared" si="0"/>
        <v>1.6000000000000001E-3</v>
      </c>
      <c r="J20" s="595"/>
      <c r="K20" s="595"/>
      <c r="L20" s="595"/>
      <c r="M20" s="595"/>
      <c r="N20" s="595"/>
      <c r="O20" s="600"/>
    </row>
    <row r="21" spans="1:15" x14ac:dyDescent="0.3">
      <c r="A21" s="623"/>
      <c r="B21" s="624"/>
      <c r="C21" s="624"/>
      <c r="D21" s="624"/>
      <c r="E21" s="624"/>
      <c r="F21" s="624"/>
      <c r="G21" s="624"/>
      <c r="H21" s="639" t="s">
        <v>18</v>
      </c>
      <c r="I21" s="626">
        <f>SUM(I15:I20)</f>
        <v>2.64</v>
      </c>
      <c r="J21" s="624"/>
      <c r="K21" s="624"/>
      <c r="L21" s="624"/>
      <c r="M21" s="624"/>
      <c r="N21" s="624"/>
      <c r="O21" s="600"/>
    </row>
    <row r="22" spans="1:15" ht="15" thickBot="1" x14ac:dyDescent="0.35">
      <c r="A22" s="640"/>
      <c r="B22" s="641"/>
      <c r="C22" s="641"/>
      <c r="D22" s="641"/>
      <c r="E22" s="641"/>
      <c r="F22" s="641"/>
      <c r="G22" s="641"/>
      <c r="H22" s="641"/>
      <c r="I22" s="641"/>
      <c r="J22" s="641"/>
      <c r="K22" s="641"/>
      <c r="L22" s="641"/>
      <c r="M22" s="641"/>
      <c r="N22" s="641"/>
      <c r="O22" s="642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20"/>
  <sheetViews>
    <sheetView workbookViewId="0">
      <selection activeCell="G2" sqref="G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  <c r="P1" s="155"/>
    </row>
    <row r="2" spans="1:16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N12+I18</f>
        <v>1.1551782399999999</v>
      </c>
      <c r="O2" s="600"/>
      <c r="P2" s="155"/>
    </row>
    <row r="3" spans="1:16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4</v>
      </c>
      <c r="O3" s="600"/>
      <c r="P3" s="155"/>
    </row>
    <row r="4" spans="1:16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  <c r="P4" s="155"/>
    </row>
    <row r="5" spans="1:16" x14ac:dyDescent="0.3">
      <c r="A5" s="594" t="s">
        <v>15</v>
      </c>
      <c r="B5" s="604" t="s">
        <v>192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4.6207129599999996</v>
      </c>
      <c r="O5" s="600"/>
      <c r="P5" s="155"/>
    </row>
    <row r="6" spans="1:16" x14ac:dyDescent="0.3">
      <c r="A6" s="594" t="s">
        <v>7</v>
      </c>
      <c r="B6" s="605" t="s">
        <v>206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  <c r="P6" s="155"/>
    </row>
    <row r="7" spans="1:16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  <c r="P7" s="155"/>
    </row>
    <row r="8" spans="1:16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  <c r="P8" s="155"/>
    </row>
    <row r="9" spans="1:16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  <c r="P9" s="155"/>
    </row>
    <row r="10" spans="1:16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  <c r="P10" s="155"/>
    </row>
    <row r="11" spans="1:16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6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0.14197824000000003</v>
      </c>
      <c r="O12" s="600"/>
      <c r="P12" s="155"/>
    </row>
    <row r="13" spans="1:16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  <c r="P13" s="155"/>
    </row>
    <row r="14" spans="1:16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  <c r="P14" s="155"/>
    </row>
    <row r="15" spans="1:16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6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6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6" x14ac:dyDescent="0.3">
      <c r="A18" s="623"/>
      <c r="B18" s="624"/>
      <c r="C18" s="624"/>
      <c r="D18" s="624"/>
      <c r="E18" s="624"/>
      <c r="F18" s="624"/>
      <c r="G18" s="624"/>
      <c r="H18" s="639" t="s">
        <v>18</v>
      </c>
      <c r="I18" s="626">
        <f>SUM(I15:I17)</f>
        <v>1.0131999999999999</v>
      </c>
      <c r="J18" s="624"/>
      <c r="K18" s="624"/>
      <c r="L18" s="624"/>
      <c r="M18" s="624"/>
      <c r="N18" s="624"/>
      <c r="O18" s="600"/>
      <c r="P18" s="155"/>
    </row>
    <row r="19" spans="1:16" ht="15" thickBot="1" x14ac:dyDescent="0.35">
      <c r="A19" s="640"/>
      <c r="B19" s="641"/>
      <c r="C19" s="641"/>
      <c r="D19" s="641"/>
      <c r="E19" s="641"/>
      <c r="F19" s="641"/>
      <c r="G19" s="641"/>
      <c r="H19" s="641"/>
      <c r="I19" s="641"/>
      <c r="J19" s="641"/>
      <c r="K19" s="641"/>
      <c r="L19" s="641"/>
      <c r="M19" s="641"/>
      <c r="N19" s="641"/>
      <c r="O19" s="642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C33" sqref="C33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1.4969516249999999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1.4969516249999999</v>
      </c>
      <c r="O5" s="436"/>
    </row>
    <row r="6" spans="1:15" x14ac:dyDescent="0.3">
      <c r="A6" s="433" t="s">
        <v>7</v>
      </c>
      <c r="B6" s="439" t="s">
        <v>329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7.1670500000000012E-2</v>
      </c>
      <c r="F11" s="445" t="s">
        <v>212</v>
      </c>
      <c r="G11" s="445"/>
      <c r="H11" s="446"/>
      <c r="I11" s="447" t="s">
        <v>324</v>
      </c>
      <c r="J11" s="448">
        <f>0.083*0.022</f>
        <v>1.8259999999999999E-3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0.16125862500000002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3.6519999999999999E-3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3.6519999999999997E-2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0.19777862500000001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18.5</v>
      </c>
      <c r="G17" s="453"/>
      <c r="H17" s="456"/>
      <c r="I17" s="457">
        <f>IF(H17="",D17*F17,D17*F17*H17)</f>
        <v>0.185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3.6519999999999999E-3</v>
      </c>
      <c r="G20" s="453"/>
      <c r="H20" s="456"/>
      <c r="I20" s="464">
        <f>F20*D20</f>
        <v>1.9172999999999999E-2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1.2991729999999999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313</v>
      </c>
    </row>
  </sheetData>
  <hyperlinks>
    <hyperlink ref="B1" location="SU_03008" display="SU_03008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" right="0.7" top="0.75" bottom="0.75" header="0.3" footer="0.3"/>
  <pageSetup paperSize="9" scale="41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1.49211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1.49211</v>
      </c>
      <c r="O5" s="436"/>
    </row>
    <row r="6" spans="1:15" x14ac:dyDescent="0.3">
      <c r="A6" s="433" t="s">
        <v>7</v>
      </c>
      <c r="B6" s="439" t="s">
        <v>330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6.9079999999999989E-2</v>
      </c>
      <c r="F11" s="445" t="s">
        <v>212</v>
      </c>
      <c r="G11" s="445"/>
      <c r="H11" s="446"/>
      <c r="I11" s="447" t="s">
        <v>325</v>
      </c>
      <c r="J11" s="448">
        <f>0.08*0.022</f>
        <v>1.7599999999999998E-3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0.15543000000000001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3.5199999999999997E-3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3.5199999999999995E-2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0.19063000000000002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2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18.8</v>
      </c>
      <c r="G17" s="453"/>
      <c r="H17" s="456"/>
      <c r="I17" s="457">
        <f>IF(H17="",D17*F17,D17*F17*H17)</f>
        <v>0.188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3.5199999999999997E-3</v>
      </c>
      <c r="G20" s="453"/>
      <c r="H20" s="456"/>
      <c r="I20" s="464">
        <f>F20*D20</f>
        <v>1.848E-2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1.30148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314</v>
      </c>
    </row>
  </sheetData>
  <hyperlinks>
    <hyperlink ref="B1" location="SU_03009" display="SU_03009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2" sqref="N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1.2680301249999999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1.2680301249999999</v>
      </c>
      <c r="O5" s="436"/>
    </row>
    <row r="6" spans="1:15" x14ac:dyDescent="0.3">
      <c r="A6" s="433" t="s">
        <v>7</v>
      </c>
      <c r="B6" s="439" t="s">
        <v>331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2" customHeight="1" x14ac:dyDescent="0.3">
      <c r="A11" s="440">
        <v>10</v>
      </c>
      <c r="B11" s="441" t="s">
        <v>278</v>
      </c>
      <c r="C11" s="643" t="s">
        <v>279</v>
      </c>
      <c r="D11" s="443">
        <v>2.25</v>
      </c>
      <c r="E11" s="444">
        <f>J11*K11*L11</f>
        <v>2.6768500000000001E-2</v>
      </c>
      <c r="F11" s="445" t="s">
        <v>212</v>
      </c>
      <c r="G11" s="445"/>
      <c r="H11" s="446"/>
      <c r="I11" s="447" t="s">
        <v>326</v>
      </c>
      <c r="J11" s="448">
        <f>0.031*0.022</f>
        <v>6.8199999999999999E-4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6.0229125000000001E-2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1.364E-3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1.3639999999999999E-2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7.3869125000000008E-2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3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9.1999999999999993</v>
      </c>
      <c r="G17" s="453"/>
      <c r="H17" s="456"/>
      <c r="I17" s="457">
        <f>IF(H17="",D17*F17,D17*F17*H17)</f>
        <v>9.1999999999999998E-2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1.364E-3</v>
      </c>
      <c r="G20" s="453"/>
      <c r="H20" s="456"/>
      <c r="I20" s="464">
        <f>F20*D20</f>
        <v>7.1609999999999998E-3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1.1941609999999998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315</v>
      </c>
    </row>
  </sheetData>
  <hyperlinks>
    <hyperlink ref="B1" location="SU_03010" display="SU_03010"/>
  </hyperlink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1.3787631249999999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1.3787631249999999</v>
      </c>
      <c r="O5" s="436"/>
    </row>
    <row r="6" spans="1:15" x14ac:dyDescent="0.3">
      <c r="A6" s="433" t="s">
        <v>7</v>
      </c>
      <c r="B6" s="439" t="s">
        <v>328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4.74925E-2</v>
      </c>
      <c r="F11" s="445" t="s">
        <v>212</v>
      </c>
      <c r="G11" s="445"/>
      <c r="H11" s="446"/>
      <c r="I11" s="447" t="s">
        <v>327</v>
      </c>
      <c r="J11" s="448">
        <f>0.055*0.022</f>
        <v>1.2099999999999999E-3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0.10685812499999998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2.4199999999999998E-3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2.4199999999999999E-2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0.13105812499999997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2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</v>
      </c>
      <c r="G17" s="453"/>
      <c r="H17" s="456"/>
      <c r="I17" s="457">
        <f>IF(H17="",D17*F17,D17*F17*H17)</f>
        <v>0.14000000000000001</v>
      </c>
      <c r="J17" s="311"/>
      <c r="K17" s="417"/>
      <c r="L17" s="417"/>
      <c r="M17" s="417"/>
      <c r="N17" s="417"/>
      <c r="O17" s="436"/>
    </row>
    <row r="18" spans="1:15" ht="28.8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13.2" customHeight="1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2.4199999999999998E-3</v>
      </c>
      <c r="G20" s="453"/>
      <c r="H20" s="456"/>
      <c r="I20" s="464">
        <f>F20*D20</f>
        <v>1.2704999999999999E-2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1.2477049999999998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316</v>
      </c>
    </row>
  </sheetData>
  <hyperlinks>
    <hyperlink ref="B1" location="SU_03011" display="SU_03011"/>
  </hyperlink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0" sqref="B10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1</v>
      </c>
      <c r="E10" s="74">
        <f t="shared" ref="E10:E20" si="0">C10*D10</f>
        <v>8.9540000000000006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1</v>
      </c>
      <c r="E12" s="74">
        <f t="shared" si="0"/>
        <v>12.033390599999997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1</v>
      </c>
      <c r="E13" s="74">
        <f t="shared" si="0"/>
        <v>7.4075677199999985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2</v>
      </c>
      <c r="E14" s="74">
        <f t="shared" si="0"/>
        <v>5.3353715136000002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04008'!B5</f>
        <v>Front up bracket</v>
      </c>
      <c r="C17" s="502">
        <f>'SU 04008'!N2</f>
        <v>1.3905750000000001</v>
      </c>
      <c r="D17" s="486">
        <f>SU_04008_q</f>
        <v>1</v>
      </c>
      <c r="E17" s="74">
        <f t="shared" si="0"/>
        <v>1.3905750000000001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04009'!B5</f>
        <v>Front down bracket</v>
      </c>
      <c r="C18" s="502">
        <f>'SU 04009'!N2</f>
        <v>1.3814265000000003</v>
      </c>
      <c r="D18" s="486">
        <f>SU_04009_q</f>
        <v>1</v>
      </c>
      <c r="E18" s="74">
        <f t="shared" si="0"/>
        <v>1.3814265000000003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04010'!B5</f>
        <v>Rear up bracket</v>
      </c>
      <c r="C19" s="502">
        <f>'SU 04010'!N2</f>
        <v>1.8130709999999999</v>
      </c>
      <c r="D19" s="486">
        <f>SU_04010_q</f>
        <v>1</v>
      </c>
      <c r="E19" s="74">
        <f t="shared" si="0"/>
        <v>1.8130709999999999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04011'!B5</f>
        <v>Rear down bracket</v>
      </c>
      <c r="C20" s="502">
        <f>'SU 04011'!N2</f>
        <v>1.9015070000000001</v>
      </c>
      <c r="D20" s="486">
        <f>SU_04011_q</f>
        <v>1</v>
      </c>
      <c r="E20" s="74">
        <f t="shared" si="0"/>
        <v>1.9015070000000001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N4" sqref="N4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8.9540000000000006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9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7" customFormat="1" ht="30.6" customHeight="1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9.4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27</v>
      </c>
      <c r="G16" s="336" t="s">
        <v>264</v>
      </c>
      <c r="H16" s="524">
        <v>1</v>
      </c>
      <c r="I16" s="306">
        <f t="shared" si="0"/>
        <v>1.08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27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28.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6</v>
      </c>
      <c r="G22" s="336" t="s">
        <v>264</v>
      </c>
      <c r="H22" s="524">
        <v>1</v>
      </c>
      <c r="I22" s="306">
        <f t="shared" si="0"/>
        <v>0.24</v>
      </c>
      <c r="J22" s="533"/>
      <c r="K22" s="528"/>
      <c r="L22" s="528"/>
      <c r="M22" s="528"/>
      <c r="N22" s="528"/>
      <c r="O22" s="529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8749999999999998" right="0.78749999999999998" top="1.05277777777778" bottom="1.05277777777778" header="0.78749999999999998" footer="0.78749999999999998"/>
  <pageSetup paperSize="9" scale="54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7" t="s">
        <v>216</v>
      </c>
    </row>
  </sheetData>
  <hyperlinks>
    <hyperlink ref="B1" location="SU_04001" display="SU_04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321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320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7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12.033390599999997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9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topLeftCell="A4" zoomScale="80" zoomScaleNormal="8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7.4075677199999985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9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5.3353715136000002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A3" sqref="A3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7" t="s">
        <v>222</v>
      </c>
    </row>
  </sheetData>
  <hyperlinks>
    <hyperlink ref="B1" location="SU_04005" display="SU_04005"/>
  </hyperlink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N3" sqref="N3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44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4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44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223</v>
      </c>
    </row>
  </sheetData>
  <hyperlinks>
    <hyperlink ref="B1" location="SU_04006" display="SU_04006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ht="28.8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7" t="s">
        <v>322</v>
      </c>
    </row>
  </sheetData>
  <hyperlinks>
    <hyperlink ref="B1" location="SU_04007" display="SU_04006"/>
  </hyperlink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1.3905750000000001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1.3905750000000001</v>
      </c>
      <c r="O5" s="436"/>
    </row>
    <row r="6" spans="1:15" x14ac:dyDescent="0.3">
      <c r="A6" s="433" t="s">
        <v>7</v>
      </c>
      <c r="B6" s="439" t="s">
        <v>332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4.710000000000001E-2</v>
      </c>
      <c r="F11" s="445" t="s">
        <v>212</v>
      </c>
      <c r="G11" s="445"/>
      <c r="H11" s="446"/>
      <c r="I11" s="447" t="s">
        <v>333</v>
      </c>
      <c r="J11" s="448">
        <f>0.05*0.024</f>
        <v>1.2000000000000001E-3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0.10597500000000001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2.4000000000000002E-3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0.12997500000000001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15.3</v>
      </c>
      <c r="G17" s="453"/>
      <c r="H17" s="456"/>
      <c r="I17" s="457">
        <f>IF(H17="",D17*F17,D17*F17*H17)</f>
        <v>0.153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2.4000000000000002E-3</v>
      </c>
      <c r="G20" s="453"/>
      <c r="H20" s="456"/>
      <c r="I20" s="464">
        <f>F20*D20</f>
        <v>1.2600000000000002E-2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1.2606000000000002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8.8765790399999975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58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1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61" t="s">
        <v>154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8.8765790399999975</v>
      </c>
      <c r="O5" s="357"/>
    </row>
    <row r="6" spans="1:15" x14ac:dyDescent="0.3">
      <c r="A6" s="350" t="s">
        <v>7</v>
      </c>
      <c r="B6" s="362" t="s">
        <v>175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68">
        <v>10</v>
      </c>
      <c r="B11" s="369" t="s">
        <v>188</v>
      </c>
      <c r="C11" s="370" t="s">
        <v>189</v>
      </c>
      <c r="D11" s="149">
        <f>200*E11*L11</f>
        <v>7.8902924799999985</v>
      </c>
      <c r="E11" s="371">
        <f>J11*K11</f>
        <v>2.4969279999999993E-5</v>
      </c>
      <c r="F11" s="372" t="s">
        <v>190</v>
      </c>
      <c r="G11" s="372"/>
      <c r="H11" s="373"/>
      <c r="I11" s="374" t="s">
        <v>164</v>
      </c>
      <c r="J11" s="375">
        <f>3.14*(0.008*0.008-0.006*0.006)</f>
        <v>8.7919999999999985E-5</v>
      </c>
      <c r="K11" s="376">
        <v>0.28399999999999997</v>
      </c>
      <c r="L11" s="377">
        <v>1580</v>
      </c>
      <c r="M11" s="378">
        <v>1</v>
      </c>
      <c r="N11" s="379">
        <f>D11*M11</f>
        <v>7.8902924799999985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7.8902924799999985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8.8" x14ac:dyDescent="0.3">
      <c r="A15" s="369">
        <v>10</v>
      </c>
      <c r="B15" s="369" t="s">
        <v>210</v>
      </c>
      <c r="C15" s="369" t="s">
        <v>211</v>
      </c>
      <c r="D15" s="344">
        <v>25</v>
      </c>
      <c r="E15" s="339" t="s">
        <v>212</v>
      </c>
      <c r="F15" s="387">
        <f>J11*K11*L11</f>
        <v>3.9451462399999991E-2</v>
      </c>
      <c r="G15" s="237"/>
      <c r="H15" s="237"/>
      <c r="I15" s="346">
        <f>IF(H15="",D15*F15,D15*F15*H15)</f>
        <v>0.98628655999999981</v>
      </c>
      <c r="J15" s="388"/>
      <c r="K15" s="388"/>
      <c r="L15" s="388"/>
      <c r="M15" s="388"/>
      <c r="N15" s="388"/>
      <c r="O15" s="389"/>
    </row>
    <row r="16" spans="1:15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0.98628655999999981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39" orientation="portrait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7" t="s">
        <v>323</v>
      </c>
    </row>
  </sheetData>
  <hyperlinks>
    <hyperlink ref="B1" location="SU_04008" display="SU_04008"/>
  </hyperlink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1.3814265000000003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1.3814265000000003</v>
      </c>
      <c r="O5" s="436"/>
    </row>
    <row r="6" spans="1:15" x14ac:dyDescent="0.3">
      <c r="A6" s="433" t="s">
        <v>7</v>
      </c>
      <c r="B6" s="439" t="s">
        <v>334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4.8042000000000008E-2</v>
      </c>
      <c r="F11" s="445" t="s">
        <v>212</v>
      </c>
      <c r="G11" s="445"/>
      <c r="H11" s="446"/>
      <c r="I11" s="447" t="s">
        <v>335</v>
      </c>
      <c r="J11" s="448">
        <f>0.051*0.024</f>
        <v>1.224E-3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0.1080945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2.4480000000000001E-3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2.4480000000000002E-2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0.13257449999999998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14.1</v>
      </c>
      <c r="G17" s="453"/>
      <c r="H17" s="456"/>
      <c r="I17" s="457">
        <f>IF(H17="",D17*F17,D17*F17*H17)</f>
        <v>0.14099999999999999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2.4480000000000001E-3</v>
      </c>
      <c r="G20" s="453"/>
      <c r="H20" s="456"/>
      <c r="I20" s="464">
        <f>F20*D20</f>
        <v>1.2852000000000001E-2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1.2488520000000003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338</v>
      </c>
    </row>
  </sheetData>
  <hyperlinks>
    <hyperlink ref="B1" location="SU_04009" display="SU_04009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1.8130709999999999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1.8130709999999999</v>
      </c>
      <c r="O5" s="436"/>
    </row>
    <row r="6" spans="1:15" x14ac:dyDescent="0.3">
      <c r="A6" s="433" t="s">
        <v>7</v>
      </c>
      <c r="B6" s="439" t="s">
        <v>340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441" t="s">
        <v>278</v>
      </c>
      <c r="C11" s="442" t="s">
        <v>279</v>
      </c>
      <c r="D11" s="443">
        <v>2.25</v>
      </c>
      <c r="E11" s="444">
        <f>J11*K11*L11</f>
        <v>0.107388</v>
      </c>
      <c r="F11" s="445" t="s">
        <v>212</v>
      </c>
      <c r="G11" s="445"/>
      <c r="H11" s="446"/>
      <c r="I11" s="447" t="s">
        <v>336</v>
      </c>
      <c r="J11" s="448">
        <f>0.038*0.072</f>
        <v>2.7359999999999997E-3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0.24162299999999995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5.4719999999999994E-3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5.4719999999999991E-2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0.29634299999999991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27.3</v>
      </c>
      <c r="G17" s="453"/>
      <c r="H17" s="456"/>
      <c r="I17" s="457">
        <f>IF(H17="",D17*F17,D17*F17*H17)</f>
        <v>0.27300000000000002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5.4719999999999994E-3</v>
      </c>
      <c r="G20" s="453"/>
      <c r="H20" s="456"/>
      <c r="I20" s="464">
        <f>F20*D20</f>
        <v>2.8727999999999997E-2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1.5167280000000001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341</v>
      </c>
    </row>
  </sheetData>
  <hyperlinks>
    <hyperlink ref="B1" location="SU_04010" display="SU_04010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1.9015070000000001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1.9015070000000001</v>
      </c>
      <c r="O5" s="436"/>
    </row>
    <row r="6" spans="1:15" x14ac:dyDescent="0.3">
      <c r="A6" s="433" t="s">
        <v>7</v>
      </c>
      <c r="B6" s="439" t="s">
        <v>339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647" t="s">
        <v>278</v>
      </c>
      <c r="C11" s="442" t="s">
        <v>279</v>
      </c>
      <c r="D11" s="443">
        <v>2.25</v>
      </c>
      <c r="E11" s="444">
        <f>J11*K11*L11</f>
        <v>0.129996</v>
      </c>
      <c r="F11" s="445" t="s">
        <v>212</v>
      </c>
      <c r="G11" s="445"/>
      <c r="H11" s="446"/>
      <c r="I11" s="447" t="s">
        <v>337</v>
      </c>
      <c r="J11" s="448">
        <f>0.046*0.072</f>
        <v>3.3119999999999998E-3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0.292491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6.6239999999999997E-3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6.6239999999999993E-2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0.35873100000000002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646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29.3</v>
      </c>
      <c r="G17" s="453"/>
      <c r="H17" s="456"/>
      <c r="I17" s="457">
        <f>IF(H17="",D17*F17,D17*F17*H17)</f>
        <v>0.29300000000000004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648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6.6239999999999997E-3</v>
      </c>
      <c r="G20" s="453"/>
      <c r="H20" s="456"/>
      <c r="I20" s="464">
        <f>F20*D20</f>
        <v>3.4776000000000001E-2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1.5427759999999999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342</v>
      </c>
    </row>
  </sheetData>
  <hyperlinks>
    <hyperlink ref="B1" location="SU_04011" display="SU_04011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workbookViewId="0">
      <selection activeCell="D10" sqref="D10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338.62063016572864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677.24126033145728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9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82">
        <v>10</v>
      </c>
      <c r="B10" s="472" t="s">
        <v>346</v>
      </c>
      <c r="C10" s="585">
        <f>'SU 05001'!N2</f>
        <v>5.9234014172552163</v>
      </c>
      <c r="D10" s="651">
        <f>SU_05001_q</f>
        <v>1</v>
      </c>
      <c r="E10" s="585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50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62"/>
    </row>
    <row r="14" spans="1:15" x14ac:dyDescent="0.3">
      <c r="A14" s="582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62"/>
    </row>
    <row r="15" spans="1:15" s="22" customFormat="1" x14ac:dyDescent="0.3">
      <c r="A15" s="582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8">
        <v>1</v>
      </c>
      <c r="N15" s="585">
        <f>D15*M15</f>
        <v>25</v>
      </c>
      <c r="O15" s="66"/>
    </row>
    <row r="16" spans="1:15" x14ac:dyDescent="0.3">
      <c r="A16" s="659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2</v>
      </c>
      <c r="N16" s="585">
        <f>D16*M16</f>
        <v>0</v>
      </c>
    </row>
    <row r="17" spans="1:15" x14ac:dyDescent="0.3">
      <c r="A17" s="659">
        <v>40</v>
      </c>
      <c r="B17" s="660" t="s">
        <v>350</v>
      </c>
      <c r="C17" s="659" t="s">
        <v>351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1</v>
      </c>
      <c r="N17" s="585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62">
        <v>10</v>
      </c>
      <c r="B21" s="663" t="s">
        <v>352</v>
      </c>
      <c r="C21" s="662" t="s">
        <v>353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65">
        <v>20</v>
      </c>
      <c r="B22" s="666" t="s">
        <v>354</v>
      </c>
      <c r="C22" s="666" t="s">
        <v>355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7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1</v>
      </c>
      <c r="G23" s="667"/>
      <c r="H23" s="667"/>
      <c r="I23" s="664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68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7">
        <v>1</v>
      </c>
      <c r="G24" s="668"/>
      <c r="H24" s="668"/>
      <c r="I24" s="670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72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67">
        <v>1</v>
      </c>
      <c r="G25" s="672"/>
      <c r="H25" s="672"/>
      <c r="I25" s="674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72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67">
        <v>1</v>
      </c>
      <c r="G26" s="672"/>
      <c r="H26" s="672"/>
      <c r="I26" s="674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72">
        <v>70</v>
      </c>
      <c r="B27" s="288" t="s">
        <v>363</v>
      </c>
      <c r="C27" s="673" t="s">
        <v>364</v>
      </c>
      <c r="D27" s="674">
        <v>0.12</v>
      </c>
      <c r="E27" s="672" t="s">
        <v>35</v>
      </c>
      <c r="F27" s="667">
        <v>1</v>
      </c>
      <c r="G27" s="672"/>
      <c r="H27" s="672"/>
      <c r="I27" s="674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72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67">
        <v>1</v>
      </c>
      <c r="G28" s="672"/>
      <c r="H28" s="672"/>
      <c r="I28" s="674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72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67">
        <v>1</v>
      </c>
      <c r="G29" s="672"/>
      <c r="H29" s="672"/>
      <c r="I29" s="6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72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67">
        <v>1</v>
      </c>
      <c r="G30" s="672"/>
      <c r="H30" s="672"/>
      <c r="I30" s="6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6">
        <v>0.01</v>
      </c>
      <c r="E35" s="72">
        <v>8</v>
      </c>
      <c r="F35" s="678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9" t="s">
        <v>501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80"/>
      <c r="D46" s="680"/>
      <c r="E46" s="56"/>
    </row>
    <row r="47" spans="1:15" x14ac:dyDescent="0.3">
      <c r="B47" s="56"/>
      <c r="C47" s="680"/>
      <c r="D47" s="680"/>
      <c r="E47" s="56"/>
    </row>
    <row r="48" spans="1:15" x14ac:dyDescent="0.3">
      <c r="B48" s="56"/>
      <c r="C48" s="681"/>
      <c r="D48" s="680"/>
      <c r="E48" s="56"/>
    </row>
    <row r="49" spans="2:5" x14ac:dyDescent="0.3">
      <c r="B49" s="56"/>
      <c r="C49" s="681"/>
      <c r="D49" s="680"/>
      <c r="E49" s="56"/>
    </row>
    <row r="50" spans="2:5" x14ac:dyDescent="0.3">
      <c r="B50" s="56"/>
      <c r="C50" s="681"/>
      <c r="D50" s="680"/>
      <c r="E50" s="56"/>
    </row>
    <row r="51" spans="2:5" x14ac:dyDescent="0.3">
      <c r="B51" s="56"/>
      <c r="C51" s="681"/>
      <c r="D51" s="680"/>
      <c r="E51" s="56"/>
    </row>
    <row r="52" spans="2:5" x14ac:dyDescent="0.3">
      <c r="B52" s="56"/>
      <c r="C52" s="681"/>
      <c r="D52" s="680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N4" sqref="N4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ht="28.8" x14ac:dyDescent="0.3">
      <c r="A15" s="696">
        <v>10</v>
      </c>
      <c r="B15" s="699" t="s">
        <v>39</v>
      </c>
      <c r="C15" s="697" t="s">
        <v>134</v>
      </c>
      <c r="D15" s="698">
        <v>1.3</v>
      </c>
      <c r="E15" s="699" t="s">
        <v>35</v>
      </c>
      <c r="F15" s="700">
        <v>1</v>
      </c>
      <c r="G15" s="700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701">
        <v>11</v>
      </c>
      <c r="B16" s="699" t="s">
        <v>159</v>
      </c>
      <c r="C16" s="702" t="s">
        <v>378</v>
      </c>
      <c r="D16" s="703">
        <v>0.04</v>
      </c>
      <c r="E16" s="702" t="s">
        <v>161</v>
      </c>
      <c r="F16" s="704">
        <v>2.64</v>
      </c>
      <c r="G16" s="699" t="s">
        <v>379</v>
      </c>
      <c r="H16" s="26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701">
        <v>20</v>
      </c>
      <c r="B17" s="699" t="s">
        <v>380</v>
      </c>
      <c r="C17" s="702"/>
      <c r="D17" s="703">
        <v>0.65</v>
      </c>
      <c r="E17" s="699"/>
      <c r="F17" s="702">
        <v>1</v>
      </c>
      <c r="G17" s="702"/>
      <c r="H17" s="26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701">
        <v>21</v>
      </c>
      <c r="B18" s="699" t="s">
        <v>159</v>
      </c>
      <c r="C18" s="702" t="s">
        <v>378</v>
      </c>
      <c r="D18" s="703">
        <v>0.04</v>
      </c>
      <c r="E18" s="702" t="s">
        <v>161</v>
      </c>
      <c r="F18" s="704">
        <v>9.1999999999999993</v>
      </c>
      <c r="G18" s="699" t="s">
        <v>379</v>
      </c>
      <c r="H18" s="26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701">
        <v>22</v>
      </c>
      <c r="B19" s="699" t="s">
        <v>380</v>
      </c>
      <c r="C19" s="702"/>
      <c r="D19" s="703">
        <v>0.65</v>
      </c>
      <c r="E19" s="699"/>
      <c r="F19" s="702">
        <v>1</v>
      </c>
      <c r="G19" s="702"/>
      <c r="H19" s="26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701">
        <v>23</v>
      </c>
      <c r="B20" s="699" t="s">
        <v>159</v>
      </c>
      <c r="C20" s="702" t="s">
        <v>378</v>
      </c>
      <c r="D20" s="703">
        <v>0.04</v>
      </c>
      <c r="E20" s="702" t="s">
        <v>161</v>
      </c>
      <c r="F20" s="704">
        <v>6.8</v>
      </c>
      <c r="G20" s="699" t="s">
        <v>379</v>
      </c>
      <c r="H20" s="26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702">
        <v>30</v>
      </c>
      <c r="B21" s="307" t="s">
        <v>381</v>
      </c>
      <c r="C21" s="702" t="s">
        <v>378</v>
      </c>
      <c r="D21" s="703">
        <v>0.35</v>
      </c>
      <c r="E21" s="702" t="s">
        <v>271</v>
      </c>
      <c r="F21" s="704">
        <v>2</v>
      </c>
      <c r="G21" s="699"/>
      <c r="H21" s="689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s="287" t="s">
        <v>195</v>
      </c>
      <c r="B1" s="287" t="s">
        <v>383</v>
      </c>
    </row>
  </sheetData>
  <hyperlinks>
    <hyperlink ref="A1" location="EL_01001" display="Drawing part :"/>
    <hyperlink ref="B1" location="SU_05001" display="SU_05001"/>
  </hyperlinks>
  <pageMargins left="0.7" right="0.7" top="0.75" bottom="0.75" header="0.3" footer="0.3"/>
  <pageSetup paperSize="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0" workbookViewId="0">
      <selection activeCell="B4" sqref="B4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41" orientation="portrait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workbookViewId="0">
      <selection activeCell="B10" sqref="B10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0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12.856091357590071</v>
      </c>
      <c r="O2" s="276"/>
    </row>
    <row r="3" spans="1:15" x14ac:dyDescent="0.3">
      <c r="A3" s="720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6"/>
    </row>
    <row r="4" spans="1:15" x14ac:dyDescent="0.3">
      <c r="A4" s="720" t="s">
        <v>5</v>
      </c>
      <c r="B4" s="57" t="s">
        <v>389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0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25.712182715180141</v>
      </c>
      <c r="O5" s="276"/>
    </row>
    <row r="6" spans="1:15" x14ac:dyDescent="0.3">
      <c r="A6" s="72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0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24">
        <v>10</v>
      </c>
      <c r="B10" s="725" t="s">
        <v>385</v>
      </c>
      <c r="C10" s="289">
        <f>'SU 06001'!N2</f>
        <v>1.3710986506763019</v>
      </c>
      <c r="D10" s="726">
        <f>SU_06001_q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4">
        <v>20</v>
      </c>
      <c r="B11" s="727" t="s">
        <v>386</v>
      </c>
      <c r="C11" s="289">
        <f>'SU 06002'!N2</f>
        <v>1.5427786126391492</v>
      </c>
      <c r="D11" s="688">
        <f>SU_06002_q</f>
        <v>1</v>
      </c>
      <c r="E11" s="289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4">
        <v>30</v>
      </c>
      <c r="B12" s="728" t="s">
        <v>387</v>
      </c>
      <c r="C12" s="289">
        <f>'SU 06003'!N2</f>
        <v>0.88140624999999995</v>
      </c>
      <c r="D12" s="688">
        <f>SU_06003_q</f>
        <v>2</v>
      </c>
      <c r="E12" s="289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x14ac:dyDescent="0.3">
      <c r="A13" s="730">
        <v>40</v>
      </c>
      <c r="B13" s="725" t="s">
        <v>388</v>
      </c>
      <c r="C13" s="289">
        <f>'SU 06004'!N2</f>
        <v>2.2702062500000002</v>
      </c>
      <c r="D13" s="26">
        <f>SU_06004_q</f>
        <v>2</v>
      </c>
      <c r="E13" s="289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722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0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6"/>
    </row>
    <row r="17" spans="1:15" x14ac:dyDescent="0.3">
      <c r="A17" s="731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76"/>
    </row>
    <row r="18" spans="1:15" s="22" customFormat="1" x14ac:dyDescent="0.3">
      <c r="A18" s="731">
        <v>20</v>
      </c>
      <c r="B18" s="72" t="s">
        <v>350</v>
      </c>
      <c r="C18" s="732" t="s">
        <v>393</v>
      </c>
      <c r="D18" s="74">
        <v>10</v>
      </c>
      <c r="E18" s="733">
        <v>6.0000000000000001E-3</v>
      </c>
      <c r="F18" s="733" t="s">
        <v>276</v>
      </c>
      <c r="G18" s="733"/>
      <c r="H18" s="75"/>
      <c r="I18" s="734"/>
      <c r="J18" s="97"/>
      <c r="K18" s="78"/>
      <c r="L18" s="79"/>
      <c r="M18" s="81">
        <v>1</v>
      </c>
      <c r="N18" s="74">
        <f>M18*D18*E18</f>
        <v>0.06</v>
      </c>
      <c r="O18" s="735"/>
    </row>
    <row r="19" spans="1:15" x14ac:dyDescent="0.3">
      <c r="A19" s="736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0.09</v>
      </c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s="25" customFormat="1" x14ac:dyDescent="0.3">
      <c r="A21" s="720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7"/>
    </row>
    <row r="22" spans="1:15" x14ac:dyDescent="0.3">
      <c r="A22" s="731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8">
        <v>10</v>
      </c>
      <c r="G22" s="738"/>
      <c r="H22" s="738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6"/>
    </row>
    <row r="23" spans="1:15" x14ac:dyDescent="0.3">
      <c r="A23" s="731">
        <v>20</v>
      </c>
      <c r="B23" s="739" t="s">
        <v>354</v>
      </c>
      <c r="C23" s="72" t="s">
        <v>395</v>
      </c>
      <c r="D23" s="74">
        <v>5.25</v>
      </c>
      <c r="E23" s="739" t="s">
        <v>276</v>
      </c>
      <c r="F23" s="738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6"/>
    </row>
    <row r="24" spans="1:15" x14ac:dyDescent="0.3">
      <c r="A24" s="731">
        <v>30</v>
      </c>
      <c r="B24" s="739" t="s">
        <v>354</v>
      </c>
      <c r="C24" s="72" t="s">
        <v>396</v>
      </c>
      <c r="D24" s="74">
        <v>5.25</v>
      </c>
      <c r="E24" s="72" t="s">
        <v>276</v>
      </c>
      <c r="F24" s="738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6"/>
    </row>
    <row r="25" spans="1:15" s="17" customFormat="1" x14ac:dyDescent="0.3">
      <c r="A25" s="731">
        <v>40</v>
      </c>
      <c r="B25" s="739" t="s">
        <v>225</v>
      </c>
      <c r="C25" s="72" t="s">
        <v>397</v>
      </c>
      <c r="D25" s="74">
        <v>0.06</v>
      </c>
      <c r="E25" s="72" t="s">
        <v>35</v>
      </c>
      <c r="F25" s="738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40"/>
    </row>
    <row r="26" spans="1:15" s="25" customFormat="1" x14ac:dyDescent="0.3">
      <c r="A26" s="731">
        <v>50</v>
      </c>
      <c r="B26" s="739" t="s">
        <v>225</v>
      </c>
      <c r="C26" s="72" t="s">
        <v>398</v>
      </c>
      <c r="D26" s="74">
        <v>0.06</v>
      </c>
      <c r="E26" s="72" t="s">
        <v>35</v>
      </c>
      <c r="F26" s="738">
        <v>1</v>
      </c>
      <c r="G26" s="738"/>
      <c r="H26" s="738"/>
      <c r="I26" s="74">
        <f t="shared" si="0"/>
        <v>0.06</v>
      </c>
      <c r="J26" s="57"/>
      <c r="K26" s="57"/>
      <c r="L26" s="57"/>
      <c r="M26" s="57"/>
      <c r="N26" s="57"/>
      <c r="O26" s="737"/>
    </row>
    <row r="27" spans="1:15" s="17" customFormat="1" ht="14.4" customHeight="1" x14ac:dyDescent="0.3">
      <c r="A27" s="741">
        <v>60</v>
      </c>
      <c r="B27" s="742" t="s">
        <v>225</v>
      </c>
      <c r="C27" s="742" t="s">
        <v>399</v>
      </c>
      <c r="D27" s="74">
        <v>0.06</v>
      </c>
      <c r="E27" s="742" t="s">
        <v>35</v>
      </c>
      <c r="F27" s="743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40"/>
    </row>
    <row r="28" spans="1:15" s="17" customFormat="1" ht="14.4" customHeight="1" x14ac:dyDescent="0.3">
      <c r="A28" s="724">
        <v>70</v>
      </c>
      <c r="B28" s="744" t="s">
        <v>363</v>
      </c>
      <c r="C28" s="666" t="s">
        <v>400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740"/>
    </row>
    <row r="29" spans="1:15" s="17" customFormat="1" ht="14.4" customHeight="1" x14ac:dyDescent="0.3">
      <c r="A29" s="724">
        <v>80</v>
      </c>
      <c r="B29" s="744" t="s">
        <v>363</v>
      </c>
      <c r="C29" s="746" t="s">
        <v>401</v>
      </c>
      <c r="D29" s="289">
        <v>0.12</v>
      </c>
      <c r="E29" s="27" t="s">
        <v>35</v>
      </c>
      <c r="F29" s="26">
        <v>1</v>
      </c>
      <c r="G29" s="688"/>
      <c r="H29" s="745"/>
      <c r="I29" s="74">
        <f t="shared" si="0"/>
        <v>0.12</v>
      </c>
      <c r="J29" s="57"/>
      <c r="K29" s="57"/>
      <c r="L29" s="57"/>
      <c r="M29" s="57"/>
      <c r="N29" s="57"/>
      <c r="O29" s="740"/>
    </row>
    <row r="30" spans="1:15" s="17" customFormat="1" ht="14.4" customHeight="1" x14ac:dyDescent="0.3">
      <c r="A30" s="724">
        <v>90</v>
      </c>
      <c r="B30" s="744" t="s">
        <v>366</v>
      </c>
      <c r="C30" s="746" t="s">
        <v>367</v>
      </c>
      <c r="D30" s="289">
        <v>0.75</v>
      </c>
      <c r="E30" s="27" t="s">
        <v>35</v>
      </c>
      <c r="F30" s="26">
        <v>1</v>
      </c>
      <c r="G30" s="688"/>
      <c r="H30" s="745"/>
      <c r="I30" s="74">
        <f t="shared" si="0"/>
        <v>0.75</v>
      </c>
      <c r="J30" s="57"/>
      <c r="K30" s="57"/>
      <c r="L30" s="57"/>
      <c r="M30" s="57"/>
      <c r="N30" s="57"/>
      <c r="O30" s="740"/>
    </row>
    <row r="31" spans="1:15" s="17" customFormat="1" ht="14.4" customHeight="1" x14ac:dyDescent="0.3">
      <c r="A31" s="724">
        <v>100</v>
      </c>
      <c r="B31" s="744" t="s">
        <v>368</v>
      </c>
      <c r="C31" s="746" t="s">
        <v>367</v>
      </c>
      <c r="D31" s="289">
        <v>0.25</v>
      </c>
      <c r="E31" s="27" t="s">
        <v>35</v>
      </c>
      <c r="F31" s="26">
        <v>1</v>
      </c>
      <c r="G31" s="688"/>
      <c r="H31" s="745"/>
      <c r="I31" s="74">
        <f t="shared" si="0"/>
        <v>0.25</v>
      </c>
      <c r="J31" s="57"/>
      <c r="K31" s="57"/>
      <c r="L31" s="57"/>
      <c r="M31" s="57"/>
      <c r="N31" s="57"/>
      <c r="O31" s="740"/>
    </row>
    <row r="32" spans="1:15" x14ac:dyDescent="0.3">
      <c r="A32" s="736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6"/>
    </row>
    <row r="33" spans="1:15" x14ac:dyDescent="0.3">
      <c r="A33" s="72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6"/>
    </row>
    <row r="34" spans="1:15" x14ac:dyDescent="0.3">
      <c r="A34" s="720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6"/>
    </row>
    <row r="35" spans="1:15" x14ac:dyDescent="0.3">
      <c r="A35" s="731">
        <v>10</v>
      </c>
      <c r="B35" s="72" t="s">
        <v>369</v>
      </c>
      <c r="C35" s="72" t="s">
        <v>402</v>
      </c>
      <c r="D35" s="676">
        <f>0.8/105154*E35^2*G35*SQRT(G35)+0.003*EXP(0.319*E35)</f>
        <v>0.18547981844542938</v>
      </c>
      <c r="E35" s="677">
        <v>8</v>
      </c>
      <c r="F35" s="677" t="s">
        <v>30</v>
      </c>
      <c r="G35" s="677">
        <v>45</v>
      </c>
      <c r="H35" s="677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6"/>
    </row>
    <row r="36" spans="1:15" x14ac:dyDescent="0.3">
      <c r="A36" s="731">
        <v>20</v>
      </c>
      <c r="B36" s="72" t="s">
        <v>371</v>
      </c>
      <c r="C36" s="72" t="s">
        <v>402</v>
      </c>
      <c r="D36" s="676">
        <v>0.01</v>
      </c>
      <c r="E36" s="72"/>
      <c r="F36" s="678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6"/>
    </row>
    <row r="37" spans="1:15" x14ac:dyDescent="0.3">
      <c r="A37" s="731">
        <v>30</v>
      </c>
      <c r="B37" s="72" t="s">
        <v>372</v>
      </c>
      <c r="C37" s="72" t="s">
        <v>402</v>
      </c>
      <c r="D37" s="676">
        <f>0.009*EXP(0.2*E37)</f>
        <v>4.4577291819556032E-2</v>
      </c>
      <c r="E37" s="72">
        <v>8</v>
      </c>
      <c r="F37" s="678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6"/>
    </row>
    <row r="38" spans="1:15" x14ac:dyDescent="0.3">
      <c r="A38" s="736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6"/>
    </row>
    <row r="39" spans="1:15" x14ac:dyDescent="0.3">
      <c r="A39" s="722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6"/>
    </row>
    <row r="40" spans="1:15" x14ac:dyDescent="0.3">
      <c r="A40" s="720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6"/>
    </row>
    <row r="41" spans="1:15" x14ac:dyDescent="0.3">
      <c r="A41" s="731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76"/>
    </row>
    <row r="42" spans="1:15" x14ac:dyDescent="0.3">
      <c r="A42" s="736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0.33333333333333331</v>
      </c>
      <c r="J42" s="24"/>
      <c r="K42" s="56"/>
      <c r="L42" s="56"/>
      <c r="M42" s="56"/>
      <c r="N42" s="56"/>
      <c r="O42" s="276"/>
    </row>
    <row r="43" spans="1:15" ht="15" thickBot="1" x14ac:dyDescent="0.35">
      <c r="A43" s="296"/>
      <c r="B43" s="297"/>
      <c r="C43" s="297"/>
      <c r="D43" s="297"/>
      <c r="E43" s="297"/>
      <c r="F43" s="297"/>
      <c r="G43" s="297"/>
      <c r="H43" s="297"/>
      <c r="I43" s="297"/>
      <c r="J43" s="297"/>
      <c r="K43" s="297"/>
      <c r="L43" s="297"/>
      <c r="M43" s="297"/>
      <c r="N43" s="297"/>
      <c r="O43" s="298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80"/>
  <sheetViews>
    <sheetView zoomScale="80" zoomScaleNormal="80" workbookViewId="0">
      <selection activeCell="N4" sqref="N4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47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49" t="s">
        <v>1</v>
      </c>
      <c r="K2" s="750">
        <v>81</v>
      </c>
      <c r="L2" s="748"/>
      <c r="M2" s="747" t="s">
        <v>16</v>
      </c>
      <c r="N2" s="751">
        <f>SU_06001_m+SU_06001_p</f>
        <v>1.3710986506763019</v>
      </c>
      <c r="O2" s="276"/>
    </row>
    <row r="3" spans="1:15" x14ac:dyDescent="0.3">
      <c r="A3" s="747" t="s">
        <v>3</v>
      </c>
      <c r="B3" s="16" t="str">
        <f>'SU A0600'!B3</f>
        <v>Suspension &amp; Shocks</v>
      </c>
      <c r="C3" s="748"/>
      <c r="D3" s="747" t="s">
        <v>6</v>
      </c>
      <c r="E3" s="748"/>
      <c r="F3" s="748"/>
      <c r="G3" s="748"/>
      <c r="H3" s="748"/>
      <c r="I3" s="748"/>
      <c r="J3" s="748"/>
      <c r="K3" s="748"/>
      <c r="L3" s="748"/>
      <c r="M3" s="747" t="s">
        <v>4</v>
      </c>
      <c r="N3" s="752">
        <v>2</v>
      </c>
      <c r="O3" s="276"/>
    </row>
    <row r="4" spans="1:15" x14ac:dyDescent="0.3">
      <c r="A4" s="747" t="s">
        <v>5</v>
      </c>
      <c r="B4" s="88" t="str">
        <f>'SU A0600'!B4</f>
        <v>Front Bell Crank</v>
      </c>
      <c r="C4" s="748"/>
      <c r="D4" s="747" t="s">
        <v>8</v>
      </c>
      <c r="E4" s="748"/>
      <c r="F4" s="748"/>
      <c r="G4" s="748"/>
      <c r="H4" s="748"/>
      <c r="I4" s="748"/>
      <c r="J4" s="747" t="s">
        <v>6</v>
      </c>
      <c r="K4" s="748"/>
      <c r="L4" s="748"/>
      <c r="M4" s="748"/>
      <c r="N4" s="748"/>
      <c r="O4" s="276"/>
    </row>
    <row r="5" spans="1:15" x14ac:dyDescent="0.3">
      <c r="A5" s="747" t="s">
        <v>15</v>
      </c>
      <c r="B5" s="753" t="s">
        <v>385</v>
      </c>
      <c r="C5" s="748"/>
      <c r="D5" s="747" t="s">
        <v>12</v>
      </c>
      <c r="E5" s="748"/>
      <c r="F5" s="748"/>
      <c r="G5" s="748"/>
      <c r="H5" s="748"/>
      <c r="I5" s="748"/>
      <c r="J5" s="747" t="s">
        <v>8</v>
      </c>
      <c r="K5" s="748"/>
      <c r="L5" s="748"/>
      <c r="M5" s="747" t="s">
        <v>9</v>
      </c>
      <c r="N5" s="751">
        <f>N2*SU_06001_q</f>
        <v>2.7421973013526038</v>
      </c>
      <c r="O5" s="276"/>
    </row>
    <row r="6" spans="1:15" x14ac:dyDescent="0.3">
      <c r="A6" s="747" t="s">
        <v>7</v>
      </c>
      <c r="B6" s="748" t="s">
        <v>404</v>
      </c>
      <c r="C6" s="748"/>
      <c r="D6" s="748"/>
      <c r="E6" s="748"/>
      <c r="F6" s="748"/>
      <c r="G6" s="748"/>
      <c r="H6" s="748"/>
      <c r="I6" s="748"/>
      <c r="J6" s="747" t="s">
        <v>12</v>
      </c>
      <c r="K6" s="748"/>
      <c r="L6" s="748"/>
      <c r="M6" s="748"/>
      <c r="N6" s="748"/>
      <c r="O6" s="276"/>
    </row>
    <row r="7" spans="1:15" x14ac:dyDescent="0.3">
      <c r="A7" s="747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47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55" t="s">
        <v>14</v>
      </c>
      <c r="B10" s="756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57">
        <v>10</v>
      </c>
      <c r="B11" s="758" t="s">
        <v>405</v>
      </c>
      <c r="C11" s="759" t="s">
        <v>406</v>
      </c>
      <c r="D11" s="760">
        <v>3.3</v>
      </c>
      <c r="E11" s="761">
        <f>J11*K11*L11</f>
        <v>1.3969288083727863E-2</v>
      </c>
      <c r="F11" s="759" t="s">
        <v>212</v>
      </c>
      <c r="G11" s="759"/>
      <c r="H11" s="762"/>
      <c r="I11" s="763" t="s">
        <v>407</v>
      </c>
      <c r="J11" s="763">
        <f>PI()*(7.5*10^-3)^2</f>
        <v>1.7671458676442585E-4</v>
      </c>
      <c r="K11" s="764">
        <v>9.2999999999999992E-3</v>
      </c>
      <c r="L11" s="765">
        <v>8500</v>
      </c>
      <c r="M11" s="765">
        <v>1</v>
      </c>
      <c r="N11" s="760">
        <f>D11*E11</f>
        <v>4.6098650676301943E-2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4.6098650676301943E-2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1.25</v>
      </c>
      <c r="G16" s="759" t="s">
        <v>410</v>
      </c>
      <c r="H16" s="759">
        <v>0.5</v>
      </c>
      <c r="I16" s="760">
        <f>D16*F16*H16</f>
        <v>2.5000000000000001E-2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1.325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54"/>
      <c r="B20" s="748"/>
      <c r="C20" s="748"/>
      <c r="D20" s="748"/>
      <c r="E20" s="748"/>
      <c r="F20" s="748"/>
      <c r="G20" s="748"/>
      <c r="H20" s="748"/>
      <c r="I20" s="748"/>
      <c r="J20" s="748"/>
      <c r="K20" s="748"/>
      <c r="L20" s="748"/>
      <c r="M20" s="748"/>
      <c r="N20" s="748"/>
      <c r="O20" s="276"/>
    </row>
    <row r="21" spans="1:15" x14ac:dyDescent="0.3">
      <c r="A21" s="754"/>
      <c r="B21" s="748"/>
      <c r="C21" s="748"/>
      <c r="D21" s="748"/>
      <c r="E21" s="748"/>
      <c r="F21" s="748"/>
      <c r="G21" s="748"/>
      <c r="H21" s="748"/>
      <c r="I21" s="748"/>
      <c r="J21" s="748"/>
      <c r="K21" s="748"/>
      <c r="L21" s="748"/>
      <c r="M21" s="748"/>
      <c r="N21" s="748"/>
      <c r="O21" s="276"/>
    </row>
    <row r="22" spans="1:15" ht="15" thickBot="1" x14ac:dyDescent="0.35">
      <c r="A22" s="771"/>
      <c r="B22" s="772"/>
      <c r="C22" s="772"/>
      <c r="D22" s="772"/>
      <c r="E22" s="772"/>
      <c r="F22" s="772"/>
      <c r="G22" s="772"/>
      <c r="H22" s="772"/>
      <c r="I22" s="772"/>
      <c r="J22" s="772"/>
      <c r="K22" s="772"/>
      <c r="L22" s="772"/>
      <c r="M22" s="772"/>
      <c r="N22" s="772"/>
      <c r="O22" s="298"/>
    </row>
    <row r="23" spans="1:15" x14ac:dyDescent="0.3">
      <c r="A23" s="16"/>
      <c r="B23" s="773"/>
      <c r="C23" s="773"/>
      <c r="D23" s="773"/>
      <c r="E23" s="773"/>
      <c r="F23" s="773"/>
      <c r="G23" s="773"/>
      <c r="H23" s="773"/>
      <c r="I23" s="773"/>
      <c r="J23" s="773"/>
      <c r="K23" s="773"/>
      <c r="L23" s="773"/>
      <c r="M23" s="773"/>
      <c r="N23" s="773"/>
    </row>
    <row r="24" spans="1:15" x14ac:dyDescent="0.3">
      <c r="A24" s="16"/>
      <c r="B24" s="773"/>
      <c r="C24" s="773"/>
      <c r="D24" s="773"/>
      <c r="E24" s="773"/>
      <c r="F24" s="773"/>
      <c r="G24" s="773"/>
      <c r="H24" s="773"/>
      <c r="I24" s="773"/>
      <c r="J24" s="773"/>
      <c r="K24" s="773"/>
      <c r="L24" s="773"/>
      <c r="M24" s="773"/>
      <c r="N24" s="773"/>
    </row>
    <row r="25" spans="1:15" x14ac:dyDescent="0.3">
      <c r="A25" s="88"/>
      <c r="B25" s="773"/>
      <c r="C25" s="773"/>
      <c r="D25" s="773"/>
      <c r="E25" s="773"/>
      <c r="F25" s="773"/>
      <c r="G25" s="773"/>
      <c r="H25" s="773"/>
      <c r="I25" s="773"/>
      <c r="J25" s="773"/>
      <c r="K25" s="773"/>
      <c r="L25" s="773"/>
      <c r="M25" s="773"/>
      <c r="N25" s="773"/>
    </row>
    <row r="26" spans="1:15" x14ac:dyDescent="0.3">
      <c r="A26" s="18"/>
      <c r="B26" s="773"/>
      <c r="C26" s="773"/>
      <c r="D26" s="773"/>
      <c r="E26" s="773"/>
      <c r="F26" s="773"/>
      <c r="G26" s="773"/>
      <c r="H26" s="773"/>
      <c r="I26" s="773"/>
      <c r="J26" s="773"/>
      <c r="K26" s="773"/>
      <c r="L26" s="773"/>
      <c r="M26" s="773"/>
      <c r="N26" s="773"/>
    </row>
    <row r="27" spans="1:15" x14ac:dyDescent="0.3">
      <c r="A27" s="28"/>
      <c r="B27" s="773"/>
      <c r="C27" s="773"/>
      <c r="D27" s="773"/>
      <c r="E27" s="773"/>
      <c r="F27" s="773"/>
      <c r="G27" s="773"/>
      <c r="H27" s="773"/>
      <c r="I27" s="773"/>
      <c r="J27" s="773"/>
      <c r="K27" s="773"/>
      <c r="L27" s="773"/>
      <c r="M27" s="773"/>
      <c r="N27" s="773"/>
    </row>
    <row r="28" spans="1:15" x14ac:dyDescent="0.3">
      <c r="A28" s="16"/>
      <c r="B28" s="773"/>
      <c r="C28" s="773"/>
      <c r="D28" s="773"/>
      <c r="E28" s="773"/>
      <c r="F28" s="773"/>
      <c r="G28" s="773"/>
      <c r="H28" s="773"/>
      <c r="I28" s="773"/>
      <c r="J28" s="773"/>
      <c r="K28" s="773"/>
      <c r="L28" s="773"/>
      <c r="M28" s="773"/>
      <c r="N28" s="773"/>
    </row>
    <row r="29" spans="1:15" x14ac:dyDescent="0.3">
      <c r="A29" s="16"/>
      <c r="B29" s="773"/>
      <c r="C29" s="773"/>
      <c r="D29" s="773"/>
      <c r="E29" s="773"/>
      <c r="F29" s="773"/>
      <c r="G29" s="773"/>
      <c r="H29" s="773"/>
      <c r="I29" s="773"/>
      <c r="J29" s="773"/>
      <c r="K29" s="773"/>
      <c r="L29" s="773"/>
      <c r="M29" s="773"/>
      <c r="N29" s="773"/>
    </row>
    <row r="30" spans="1:15" x14ac:dyDescent="0.3">
      <c r="A30" s="773"/>
      <c r="B30" s="773"/>
      <c r="C30" s="773"/>
      <c r="D30" s="773"/>
      <c r="E30" s="773"/>
      <c r="F30" s="773"/>
      <c r="G30" s="773"/>
      <c r="H30" s="773"/>
      <c r="I30" s="773"/>
      <c r="J30" s="773"/>
      <c r="K30" s="773"/>
      <c r="L30" s="773"/>
      <c r="M30" s="773"/>
      <c r="N30" s="773"/>
    </row>
    <row r="31" spans="1:15" x14ac:dyDescent="0.3">
      <c r="A31" s="773"/>
      <c r="B31" s="773"/>
      <c r="C31" s="773"/>
      <c r="D31" s="773"/>
      <c r="E31" s="773"/>
      <c r="F31" s="773"/>
      <c r="G31" s="773"/>
      <c r="H31" s="773"/>
      <c r="I31" s="773"/>
      <c r="J31" s="773"/>
      <c r="K31" s="773"/>
      <c r="L31" s="773"/>
      <c r="M31" s="773"/>
      <c r="N31" s="773"/>
    </row>
    <row r="32" spans="1:15" x14ac:dyDescent="0.3">
      <c r="A32" s="773"/>
      <c r="B32" s="773"/>
      <c r="C32" s="773"/>
      <c r="D32" s="773"/>
      <c r="E32" s="773"/>
      <c r="F32" s="773"/>
      <c r="G32" s="773"/>
      <c r="H32" s="773"/>
      <c r="I32" s="773"/>
      <c r="J32" s="773"/>
      <c r="K32" s="773"/>
      <c r="L32" s="773"/>
      <c r="M32" s="773"/>
      <c r="N32" s="773"/>
    </row>
    <row r="33" spans="1:14" x14ac:dyDescent="0.3">
      <c r="A33" s="773"/>
      <c r="B33" s="773"/>
      <c r="C33" s="773"/>
      <c r="D33" s="773"/>
      <c r="E33" s="773"/>
      <c r="F33" s="773"/>
      <c r="G33" s="773"/>
      <c r="H33" s="773"/>
      <c r="I33" s="773"/>
      <c r="J33" s="773"/>
      <c r="K33" s="773"/>
      <c r="L33" s="773"/>
      <c r="M33" s="773"/>
      <c r="N33" s="773"/>
    </row>
    <row r="34" spans="1:14" x14ac:dyDescent="0.3">
      <c r="A34" s="773"/>
      <c r="B34" s="773"/>
      <c r="C34" s="773"/>
      <c r="D34" s="773"/>
      <c r="E34" s="773"/>
      <c r="F34" s="773"/>
      <c r="G34" s="773"/>
      <c r="H34" s="773"/>
      <c r="I34" s="773"/>
      <c r="J34" s="773"/>
      <c r="K34" s="773"/>
      <c r="L34" s="773"/>
      <c r="M34" s="773"/>
      <c r="N34" s="773"/>
    </row>
    <row r="35" spans="1:14" x14ac:dyDescent="0.3">
      <c r="A35" s="773"/>
      <c r="B35" s="773"/>
      <c r="C35" s="773"/>
      <c r="D35" s="773"/>
      <c r="E35" s="773"/>
      <c r="F35" s="773"/>
      <c r="G35" s="773"/>
      <c r="H35" s="773"/>
      <c r="I35" s="773"/>
      <c r="J35" s="773"/>
      <c r="K35" s="773"/>
      <c r="L35" s="773"/>
      <c r="M35" s="773"/>
      <c r="N35" s="773"/>
    </row>
    <row r="36" spans="1:14" x14ac:dyDescent="0.3">
      <c r="A36" s="773"/>
      <c r="B36" s="773"/>
      <c r="C36" s="773"/>
      <c r="D36" s="773"/>
      <c r="E36" s="773"/>
      <c r="F36" s="773"/>
      <c r="G36" s="773"/>
      <c r="H36" s="773"/>
      <c r="I36" s="773"/>
      <c r="J36" s="773"/>
      <c r="K36" s="773"/>
      <c r="L36" s="773"/>
      <c r="M36" s="773"/>
      <c r="N36" s="773"/>
    </row>
    <row r="37" spans="1:14" x14ac:dyDescent="0.3">
      <c r="A37" s="773"/>
      <c r="B37" s="773"/>
      <c r="C37" s="773"/>
      <c r="D37" s="773"/>
      <c r="E37" s="773"/>
      <c r="F37" s="773"/>
      <c r="G37" s="773"/>
      <c r="H37" s="773"/>
      <c r="I37" s="773"/>
      <c r="J37" s="773"/>
      <c r="K37" s="773"/>
      <c r="L37" s="773"/>
      <c r="M37" s="773"/>
      <c r="N37" s="773"/>
    </row>
    <row r="38" spans="1:14" x14ac:dyDescent="0.3">
      <c r="A38" s="773"/>
      <c r="B38" s="773"/>
      <c r="C38" s="773"/>
      <c r="D38" s="773"/>
      <c r="E38" s="773"/>
      <c r="F38" s="773"/>
      <c r="G38" s="773"/>
      <c r="H38" s="773"/>
      <c r="I38" s="773"/>
      <c r="J38" s="773"/>
      <c r="K38" s="773"/>
      <c r="L38" s="773"/>
      <c r="M38" s="773"/>
      <c r="N38" s="773"/>
    </row>
    <row r="39" spans="1:14" x14ac:dyDescent="0.3">
      <c r="A39" s="773"/>
      <c r="B39" s="773"/>
      <c r="C39" s="773"/>
      <c r="D39" s="773"/>
      <c r="E39" s="773"/>
      <c r="F39" s="773"/>
      <c r="G39" s="773"/>
      <c r="H39" s="773"/>
      <c r="I39" s="773"/>
      <c r="J39" s="773"/>
      <c r="K39" s="773"/>
      <c r="L39" s="773"/>
      <c r="M39" s="773"/>
      <c r="N39" s="773"/>
    </row>
    <row r="40" spans="1:14" x14ac:dyDescent="0.3">
      <c r="A40" s="773"/>
      <c r="B40" s="773"/>
      <c r="C40" s="773"/>
      <c r="D40" s="773"/>
      <c r="E40" s="773"/>
      <c r="F40" s="773"/>
      <c r="G40" s="773"/>
      <c r="H40" s="773"/>
      <c r="I40" s="773"/>
      <c r="J40" s="773"/>
      <c r="K40" s="773"/>
      <c r="L40" s="773"/>
      <c r="M40" s="773"/>
      <c r="N40" s="773"/>
    </row>
    <row r="41" spans="1:14" x14ac:dyDescent="0.3">
      <c r="A41" s="773"/>
      <c r="B41" s="773"/>
      <c r="C41" s="773"/>
      <c r="D41" s="773"/>
      <c r="E41" s="773"/>
      <c r="F41" s="773"/>
      <c r="G41" s="773"/>
      <c r="H41" s="773"/>
      <c r="I41" s="773"/>
      <c r="J41" s="773"/>
      <c r="K41" s="773"/>
      <c r="L41" s="773"/>
      <c r="M41" s="773"/>
      <c r="N41" s="773"/>
    </row>
    <row r="42" spans="1:14" x14ac:dyDescent="0.3">
      <c r="A42" s="773"/>
      <c r="B42" s="773"/>
      <c r="C42" s="773"/>
      <c r="D42" s="773"/>
      <c r="E42" s="773"/>
      <c r="F42" s="773"/>
      <c r="G42" s="773"/>
      <c r="H42" s="773"/>
      <c r="I42" s="773"/>
      <c r="J42" s="773"/>
      <c r="K42" s="773"/>
      <c r="L42" s="773"/>
      <c r="M42" s="773"/>
      <c r="N42" s="773"/>
    </row>
    <row r="43" spans="1:14" x14ac:dyDescent="0.3">
      <c r="A43" s="773"/>
      <c r="B43" s="773"/>
      <c r="C43" s="773"/>
      <c r="D43" s="773"/>
      <c r="E43" s="773"/>
      <c r="F43" s="773"/>
      <c r="G43" s="773"/>
      <c r="H43" s="773"/>
      <c r="I43" s="773"/>
      <c r="J43" s="773"/>
      <c r="K43" s="773"/>
      <c r="L43" s="773"/>
      <c r="M43" s="773"/>
      <c r="N43" s="773"/>
    </row>
    <row r="44" spans="1:14" x14ac:dyDescent="0.3">
      <c r="A44" s="773"/>
      <c r="B44" s="773"/>
      <c r="C44" s="773"/>
      <c r="D44" s="773"/>
      <c r="E44" s="773"/>
      <c r="F44" s="773"/>
      <c r="G44" s="773"/>
      <c r="H44" s="773"/>
      <c r="I44" s="773"/>
      <c r="J44" s="773"/>
      <c r="K44" s="773"/>
      <c r="L44" s="773"/>
      <c r="M44" s="773"/>
      <c r="N44" s="773"/>
    </row>
    <row r="45" spans="1:14" x14ac:dyDescent="0.3">
      <c r="A45" s="773"/>
      <c r="B45" s="773"/>
      <c r="C45" s="773"/>
      <c r="D45" s="773"/>
      <c r="E45" s="773"/>
      <c r="F45" s="773"/>
      <c r="G45" s="773"/>
      <c r="H45" s="773"/>
      <c r="I45" s="773"/>
      <c r="J45" s="773"/>
      <c r="K45" s="773"/>
      <c r="L45" s="773"/>
      <c r="M45" s="773"/>
      <c r="N45" s="773"/>
    </row>
    <row r="46" spans="1:14" x14ac:dyDescent="0.3">
      <c r="A46" s="773"/>
      <c r="B46" s="773"/>
      <c r="C46" s="773"/>
      <c r="D46" s="773"/>
      <c r="E46" s="773"/>
      <c r="F46" s="773"/>
      <c r="G46" s="773"/>
      <c r="H46" s="773"/>
      <c r="I46" s="773"/>
      <c r="J46" s="773"/>
      <c r="K46" s="773"/>
      <c r="L46" s="773"/>
      <c r="M46" s="773"/>
      <c r="N46" s="773"/>
    </row>
    <row r="47" spans="1:14" x14ac:dyDescent="0.3">
      <c r="A47" s="773"/>
      <c r="B47" s="773"/>
      <c r="C47" s="773"/>
      <c r="D47" s="773"/>
      <c r="E47" s="773"/>
      <c r="F47" s="773"/>
      <c r="G47" s="773"/>
      <c r="H47" s="773"/>
      <c r="I47" s="773"/>
      <c r="J47" s="773"/>
      <c r="K47" s="773"/>
      <c r="L47" s="773"/>
      <c r="M47" s="773"/>
      <c r="N47" s="773"/>
    </row>
    <row r="48" spans="1:14" x14ac:dyDescent="0.3">
      <c r="A48" s="773"/>
      <c r="B48" s="773"/>
      <c r="C48" s="773"/>
      <c r="D48" s="773"/>
      <c r="E48" s="773"/>
      <c r="F48" s="773"/>
      <c r="G48" s="773"/>
      <c r="H48" s="773"/>
      <c r="I48" s="773"/>
      <c r="J48" s="773"/>
      <c r="K48" s="773"/>
      <c r="L48" s="773"/>
      <c r="M48" s="773"/>
      <c r="N48" s="773"/>
    </row>
    <row r="49" spans="1:14" x14ac:dyDescent="0.3">
      <c r="A49" s="773"/>
      <c r="B49" s="773"/>
      <c r="C49" s="773"/>
      <c r="D49" s="773"/>
      <c r="E49" s="773"/>
      <c r="F49" s="773"/>
      <c r="G49" s="773"/>
      <c r="H49" s="773"/>
      <c r="I49" s="773"/>
      <c r="J49" s="773"/>
      <c r="K49" s="773"/>
      <c r="L49" s="773"/>
      <c r="M49" s="773"/>
      <c r="N49" s="773"/>
    </row>
    <row r="50" spans="1:14" x14ac:dyDescent="0.3">
      <c r="A50" s="773"/>
      <c r="B50" s="773"/>
      <c r="C50" s="773"/>
      <c r="D50" s="773"/>
      <c r="E50" s="773"/>
      <c r="F50" s="773"/>
      <c r="G50" s="773"/>
      <c r="H50" s="773"/>
      <c r="I50" s="773"/>
      <c r="J50" s="773"/>
      <c r="K50" s="773"/>
      <c r="L50" s="773"/>
      <c r="M50" s="773"/>
      <c r="N50" s="773"/>
    </row>
    <row r="51" spans="1:14" x14ac:dyDescent="0.3">
      <c r="A51" s="773"/>
      <c r="B51" s="773"/>
      <c r="C51" s="773"/>
      <c r="D51" s="773"/>
      <c r="E51" s="773"/>
      <c r="F51" s="773"/>
      <c r="G51" s="773"/>
      <c r="H51" s="773"/>
      <c r="I51" s="773"/>
      <c r="J51" s="773"/>
      <c r="K51" s="773"/>
      <c r="L51" s="773"/>
      <c r="M51" s="773"/>
      <c r="N51" s="773"/>
    </row>
    <row r="52" spans="1:14" x14ac:dyDescent="0.3">
      <c r="A52" s="773"/>
      <c r="B52" s="773"/>
      <c r="C52" s="773"/>
      <c r="D52" s="773"/>
      <c r="E52" s="773"/>
      <c r="F52" s="773"/>
      <c r="G52" s="773"/>
      <c r="H52" s="773"/>
      <c r="I52" s="773"/>
      <c r="J52" s="773"/>
      <c r="K52" s="773"/>
      <c r="L52" s="773"/>
      <c r="M52" s="773"/>
      <c r="N52" s="773"/>
    </row>
    <row r="53" spans="1:14" x14ac:dyDescent="0.3">
      <c r="A53" s="773"/>
      <c r="B53" s="773"/>
      <c r="C53" s="773"/>
      <c r="D53" s="773"/>
      <c r="E53" s="773"/>
      <c r="F53" s="773"/>
      <c r="G53" s="773"/>
      <c r="H53" s="773"/>
      <c r="I53" s="773"/>
      <c r="J53" s="773"/>
      <c r="K53" s="773"/>
      <c r="L53" s="773"/>
      <c r="M53" s="773"/>
      <c r="N53" s="773"/>
    </row>
    <row r="54" spans="1:14" x14ac:dyDescent="0.3">
      <c r="A54" s="773"/>
      <c r="B54" s="773"/>
      <c r="C54" s="773"/>
      <c r="D54" s="773"/>
      <c r="E54" s="773"/>
      <c r="F54" s="773"/>
      <c r="G54" s="773"/>
      <c r="H54" s="773"/>
      <c r="I54" s="773"/>
      <c r="J54" s="773"/>
      <c r="K54" s="773"/>
      <c r="L54" s="773"/>
      <c r="M54" s="773"/>
      <c r="N54" s="773"/>
    </row>
    <row r="55" spans="1:14" x14ac:dyDescent="0.3">
      <c r="A55" s="773"/>
      <c r="B55" s="773"/>
      <c r="C55" s="773"/>
      <c r="D55" s="773"/>
      <c r="E55" s="773"/>
      <c r="F55" s="773"/>
      <c r="G55" s="773"/>
      <c r="H55" s="773"/>
      <c r="I55" s="773"/>
      <c r="J55" s="773"/>
      <c r="K55" s="773"/>
      <c r="L55" s="773"/>
      <c r="M55" s="773"/>
      <c r="N55" s="773"/>
    </row>
    <row r="56" spans="1:14" x14ac:dyDescent="0.3">
      <c r="A56" s="773"/>
      <c r="B56" s="773"/>
      <c r="C56" s="773"/>
      <c r="D56" s="773"/>
      <c r="E56" s="773"/>
      <c r="F56" s="773"/>
      <c r="G56" s="773"/>
      <c r="H56" s="773"/>
      <c r="I56" s="773"/>
      <c r="J56" s="773"/>
      <c r="K56" s="773"/>
      <c r="L56" s="773"/>
      <c r="M56" s="773"/>
      <c r="N56" s="773"/>
    </row>
    <row r="57" spans="1:14" x14ac:dyDescent="0.3">
      <c r="A57" s="773"/>
      <c r="B57" s="773"/>
      <c r="C57" s="773"/>
      <c r="D57" s="773"/>
      <c r="E57" s="773"/>
      <c r="F57" s="773"/>
      <c r="G57" s="773"/>
      <c r="H57" s="773"/>
      <c r="I57" s="773"/>
      <c r="J57" s="773"/>
      <c r="K57" s="773"/>
      <c r="L57" s="773"/>
      <c r="M57" s="773"/>
      <c r="N57" s="773"/>
    </row>
    <row r="58" spans="1:14" x14ac:dyDescent="0.3">
      <c r="A58" s="773"/>
      <c r="B58" s="773"/>
      <c r="C58" s="773"/>
      <c r="D58" s="773"/>
      <c r="E58" s="773"/>
      <c r="F58" s="773"/>
      <c r="G58" s="773"/>
      <c r="H58" s="773"/>
      <c r="I58" s="773"/>
      <c r="J58" s="773"/>
      <c r="K58" s="773"/>
      <c r="L58" s="773"/>
      <c r="M58" s="773"/>
      <c r="N58" s="773"/>
    </row>
    <row r="59" spans="1:14" x14ac:dyDescent="0.3">
      <c r="A59" s="773"/>
      <c r="B59" s="773"/>
      <c r="C59" s="773"/>
      <c r="D59" s="773"/>
      <c r="E59" s="773"/>
      <c r="F59" s="773"/>
      <c r="G59" s="773"/>
      <c r="H59" s="773"/>
      <c r="I59" s="773"/>
      <c r="J59" s="773"/>
      <c r="K59" s="773"/>
      <c r="L59" s="773"/>
      <c r="M59" s="773"/>
      <c r="N59" s="773"/>
    </row>
    <row r="60" spans="1:14" x14ac:dyDescent="0.3">
      <c r="A60" s="773"/>
      <c r="B60" s="773"/>
      <c r="C60" s="773"/>
      <c r="D60" s="773"/>
      <c r="E60" s="773"/>
      <c r="F60" s="773"/>
      <c r="G60" s="773"/>
      <c r="H60" s="773"/>
      <c r="I60" s="773"/>
      <c r="J60" s="773"/>
      <c r="K60" s="773"/>
      <c r="L60" s="773"/>
      <c r="M60" s="773"/>
      <c r="N60" s="773"/>
    </row>
    <row r="61" spans="1:14" x14ac:dyDescent="0.3">
      <c r="A61" s="773"/>
      <c r="B61" s="773"/>
      <c r="C61" s="773"/>
      <c r="D61" s="773"/>
      <c r="E61" s="773"/>
      <c r="F61" s="773"/>
      <c r="G61" s="773"/>
      <c r="H61" s="773"/>
      <c r="I61" s="773"/>
      <c r="J61" s="773"/>
      <c r="K61" s="773"/>
      <c r="L61" s="773"/>
      <c r="M61" s="773"/>
      <c r="N61" s="773"/>
    </row>
    <row r="62" spans="1:14" x14ac:dyDescent="0.3">
      <c r="A62" s="773"/>
      <c r="B62" s="773"/>
      <c r="C62" s="773"/>
      <c r="D62" s="773"/>
      <c r="E62" s="773"/>
      <c r="F62" s="773"/>
      <c r="G62" s="773"/>
      <c r="H62" s="773"/>
      <c r="I62" s="773"/>
      <c r="J62" s="773"/>
      <c r="K62" s="773"/>
      <c r="L62" s="773"/>
      <c r="M62" s="773"/>
      <c r="N62" s="773"/>
    </row>
    <row r="63" spans="1:14" x14ac:dyDescent="0.3">
      <c r="A63" s="773"/>
      <c r="B63" s="773"/>
      <c r="C63" s="773"/>
      <c r="D63" s="773"/>
      <c r="E63" s="773"/>
      <c r="F63" s="773"/>
      <c r="G63" s="773"/>
      <c r="H63" s="773"/>
      <c r="I63" s="773"/>
      <c r="J63" s="773"/>
      <c r="K63" s="773"/>
      <c r="L63" s="773"/>
      <c r="M63" s="773"/>
      <c r="N63" s="773"/>
    </row>
    <row r="64" spans="1:14" x14ac:dyDescent="0.3">
      <c r="A64" s="773"/>
      <c r="B64" s="773"/>
      <c r="C64" s="773"/>
      <c r="D64" s="773"/>
      <c r="E64" s="773"/>
      <c r="F64" s="773"/>
      <c r="G64" s="773"/>
      <c r="H64" s="773"/>
      <c r="I64" s="773"/>
      <c r="J64" s="773"/>
      <c r="K64" s="773"/>
      <c r="L64" s="773"/>
      <c r="M64" s="773"/>
      <c r="N64" s="773"/>
    </row>
    <row r="65" spans="1:14" x14ac:dyDescent="0.3">
      <c r="A65" s="773"/>
      <c r="B65" s="773"/>
      <c r="C65" s="773"/>
      <c r="D65" s="773"/>
      <c r="E65" s="773"/>
      <c r="F65" s="773"/>
      <c r="G65" s="773"/>
      <c r="H65" s="773"/>
      <c r="I65" s="773"/>
      <c r="J65" s="773"/>
      <c r="K65" s="773"/>
      <c r="L65" s="773"/>
      <c r="M65" s="773"/>
      <c r="N65" s="773"/>
    </row>
    <row r="66" spans="1:14" x14ac:dyDescent="0.3">
      <c r="A66" s="773"/>
      <c r="B66" s="773"/>
      <c r="C66" s="773"/>
      <c r="D66" s="773"/>
      <c r="E66" s="773"/>
      <c r="F66" s="773"/>
      <c r="G66" s="773"/>
      <c r="H66" s="773"/>
      <c r="I66" s="773"/>
      <c r="J66" s="773"/>
      <c r="K66" s="773"/>
      <c r="L66" s="773"/>
      <c r="M66" s="773"/>
      <c r="N66" s="773"/>
    </row>
    <row r="67" spans="1:14" x14ac:dyDescent="0.3">
      <c r="A67" s="773"/>
      <c r="B67" s="773"/>
      <c r="C67" s="773"/>
      <c r="D67" s="773"/>
      <c r="E67" s="773"/>
      <c r="F67" s="773"/>
      <c r="G67" s="773"/>
      <c r="H67" s="773"/>
      <c r="I67" s="773"/>
      <c r="J67" s="773"/>
      <c r="K67" s="773"/>
      <c r="L67" s="773"/>
      <c r="M67" s="773"/>
      <c r="N67" s="773"/>
    </row>
    <row r="68" spans="1:14" x14ac:dyDescent="0.3">
      <c r="A68" s="773"/>
      <c r="B68" s="773"/>
      <c r="C68" s="773"/>
      <c r="D68" s="773"/>
      <c r="E68" s="773"/>
      <c r="F68" s="773"/>
      <c r="G68" s="773"/>
      <c r="H68" s="773"/>
      <c r="I68" s="773"/>
      <c r="J68" s="773"/>
      <c r="K68" s="773"/>
      <c r="L68" s="773"/>
      <c r="M68" s="773"/>
      <c r="N68" s="773"/>
    </row>
    <row r="69" spans="1:14" x14ac:dyDescent="0.3">
      <c r="A69" s="773"/>
      <c r="B69" s="773"/>
      <c r="C69" s="773"/>
      <c r="D69" s="773"/>
      <c r="E69" s="773"/>
      <c r="F69" s="773"/>
      <c r="G69" s="773"/>
      <c r="H69" s="773"/>
      <c r="I69" s="773"/>
      <c r="J69" s="773"/>
      <c r="K69" s="773"/>
      <c r="L69" s="773"/>
      <c r="M69" s="773"/>
      <c r="N69" s="773"/>
    </row>
    <row r="70" spans="1:14" x14ac:dyDescent="0.3">
      <c r="A70" s="773"/>
      <c r="B70" s="773"/>
      <c r="C70" s="773"/>
      <c r="D70" s="773"/>
      <c r="E70" s="773"/>
      <c r="F70" s="773"/>
      <c r="G70" s="773"/>
      <c r="H70" s="773"/>
      <c r="I70" s="773"/>
      <c r="J70" s="773"/>
      <c r="K70" s="773"/>
      <c r="L70" s="773"/>
      <c r="M70" s="773"/>
      <c r="N70" s="773"/>
    </row>
    <row r="71" spans="1:14" x14ac:dyDescent="0.3">
      <c r="A71" s="773"/>
      <c r="B71" s="773"/>
      <c r="C71" s="773"/>
      <c r="D71" s="773"/>
      <c r="E71" s="773"/>
      <c r="F71" s="773"/>
      <c r="G71" s="773"/>
      <c r="H71" s="773"/>
      <c r="I71" s="773"/>
      <c r="J71" s="773"/>
      <c r="K71" s="773"/>
      <c r="L71" s="773"/>
      <c r="M71" s="773"/>
      <c r="N71" s="773"/>
    </row>
    <row r="72" spans="1:14" x14ac:dyDescent="0.3">
      <c r="A72" s="773"/>
      <c r="B72" s="773"/>
      <c r="C72" s="773"/>
      <c r="D72" s="773"/>
      <c r="E72" s="773"/>
      <c r="F72" s="773"/>
      <c r="G72" s="773"/>
      <c r="H72" s="773"/>
      <c r="I72" s="773"/>
      <c r="J72" s="773"/>
      <c r="K72" s="773"/>
      <c r="L72" s="773"/>
      <c r="M72" s="773"/>
      <c r="N72" s="773"/>
    </row>
    <row r="73" spans="1:14" x14ac:dyDescent="0.3">
      <c r="A73" s="773"/>
      <c r="B73" s="773"/>
      <c r="C73" s="773"/>
      <c r="D73" s="773"/>
      <c r="E73" s="773"/>
      <c r="F73" s="773"/>
      <c r="G73" s="773"/>
      <c r="H73" s="773"/>
      <c r="I73" s="773"/>
      <c r="J73" s="773"/>
      <c r="K73" s="773"/>
      <c r="L73" s="773"/>
      <c r="M73" s="773"/>
      <c r="N73" s="773"/>
    </row>
    <row r="74" spans="1:14" x14ac:dyDescent="0.3">
      <c r="A74" s="773"/>
      <c r="B74" s="773"/>
      <c r="C74" s="773"/>
      <c r="D74" s="773"/>
      <c r="E74" s="773"/>
      <c r="F74" s="773"/>
      <c r="G74" s="773"/>
      <c r="H74" s="773"/>
      <c r="I74" s="773"/>
      <c r="J74" s="773"/>
      <c r="K74" s="773"/>
      <c r="L74" s="773"/>
      <c r="M74" s="773"/>
      <c r="N74" s="773"/>
    </row>
    <row r="75" spans="1:14" x14ac:dyDescent="0.3">
      <c r="A75" s="773"/>
      <c r="B75" s="773"/>
      <c r="C75" s="773"/>
      <c r="D75" s="773"/>
      <c r="E75" s="773"/>
      <c r="F75" s="773"/>
      <c r="G75" s="773"/>
      <c r="H75" s="773"/>
      <c r="I75" s="773"/>
      <c r="J75" s="773"/>
      <c r="K75" s="773"/>
      <c r="L75" s="773"/>
      <c r="M75" s="773"/>
      <c r="N75" s="773"/>
    </row>
    <row r="76" spans="1:14" x14ac:dyDescent="0.3">
      <c r="A76" s="773"/>
      <c r="B76" s="773"/>
      <c r="C76" s="773"/>
      <c r="D76" s="773"/>
      <c r="E76" s="773"/>
      <c r="F76" s="773"/>
      <c r="G76" s="773"/>
      <c r="H76" s="773"/>
      <c r="I76" s="773"/>
      <c r="J76" s="773"/>
      <c r="K76" s="773"/>
      <c r="L76" s="773"/>
      <c r="M76" s="773"/>
      <c r="N76" s="773"/>
    </row>
    <row r="77" spans="1:14" x14ac:dyDescent="0.3">
      <c r="A77" s="773"/>
      <c r="B77" s="773"/>
      <c r="C77" s="773"/>
      <c r="D77" s="773"/>
      <c r="E77" s="773"/>
      <c r="F77" s="773"/>
      <c r="G77" s="773"/>
      <c r="H77" s="773"/>
      <c r="I77" s="773"/>
      <c r="J77" s="773"/>
      <c r="K77" s="773"/>
      <c r="L77" s="773"/>
      <c r="M77" s="773"/>
      <c r="N77" s="773"/>
    </row>
    <row r="78" spans="1:14" x14ac:dyDescent="0.3">
      <c r="A78" s="773"/>
      <c r="B78" s="773"/>
      <c r="C78" s="773"/>
      <c r="D78" s="773"/>
      <c r="E78" s="773"/>
      <c r="F78" s="773"/>
      <c r="G78" s="773"/>
      <c r="H78" s="773"/>
      <c r="I78" s="773"/>
      <c r="J78" s="773"/>
      <c r="K78" s="773"/>
      <c r="L78" s="773"/>
      <c r="M78" s="773"/>
      <c r="N78" s="773"/>
    </row>
    <row r="79" spans="1:14" x14ac:dyDescent="0.3">
      <c r="A79" s="773"/>
      <c r="B79" s="773"/>
      <c r="C79" s="773"/>
      <c r="D79" s="773"/>
      <c r="E79" s="773"/>
      <c r="F79" s="773"/>
      <c r="G79" s="773"/>
      <c r="H79" s="773"/>
      <c r="I79" s="773"/>
      <c r="J79" s="773"/>
      <c r="K79" s="773"/>
      <c r="L79" s="773"/>
      <c r="M79" s="773"/>
      <c r="N79" s="773"/>
    </row>
    <row r="80" spans="1:14" x14ac:dyDescent="0.3">
      <c r="A80" s="773"/>
      <c r="B80" s="773"/>
      <c r="C80" s="773"/>
      <c r="D80" s="773"/>
      <c r="E80" s="773"/>
      <c r="F80" s="773"/>
      <c r="G80" s="773"/>
      <c r="H80" s="773"/>
      <c r="I80" s="773"/>
      <c r="J80" s="773"/>
      <c r="K80" s="773"/>
      <c r="L80" s="773"/>
      <c r="M80" s="773"/>
      <c r="N80" s="773"/>
    </row>
    <row r="81" spans="1:14" x14ac:dyDescent="0.3">
      <c r="A81" s="773"/>
      <c r="B81" s="773"/>
      <c r="C81" s="773"/>
      <c r="D81" s="773"/>
      <c r="E81" s="773"/>
      <c r="F81" s="773"/>
      <c r="G81" s="773"/>
      <c r="H81" s="773"/>
      <c r="I81" s="773"/>
      <c r="J81" s="773"/>
      <c r="K81" s="773"/>
      <c r="L81" s="773"/>
      <c r="M81" s="773"/>
      <c r="N81" s="773"/>
    </row>
    <row r="82" spans="1:14" x14ac:dyDescent="0.3">
      <c r="A82" s="773"/>
      <c r="B82" s="773"/>
      <c r="C82" s="773"/>
      <c r="D82" s="773"/>
      <c r="E82" s="773"/>
      <c r="F82" s="773"/>
      <c r="G82" s="773"/>
      <c r="H82" s="773"/>
      <c r="I82" s="773"/>
      <c r="J82" s="773"/>
      <c r="K82" s="773"/>
      <c r="L82" s="773"/>
      <c r="M82" s="773"/>
      <c r="N82" s="773"/>
    </row>
    <row r="83" spans="1:14" x14ac:dyDescent="0.3">
      <c r="A83" s="773"/>
      <c r="B83" s="773"/>
      <c r="C83" s="773"/>
      <c r="D83" s="773"/>
      <c r="E83" s="773"/>
      <c r="F83" s="773"/>
      <c r="G83" s="773"/>
      <c r="H83" s="773"/>
      <c r="I83" s="773"/>
      <c r="J83" s="773"/>
      <c r="K83" s="773"/>
      <c r="L83" s="773"/>
      <c r="M83" s="773"/>
      <c r="N83" s="773"/>
    </row>
    <row r="84" spans="1:14" x14ac:dyDescent="0.3">
      <c r="A84" s="773"/>
      <c r="B84" s="773"/>
      <c r="C84" s="773"/>
      <c r="D84" s="773"/>
      <c r="E84" s="773"/>
      <c r="F84" s="773"/>
      <c r="G84" s="773"/>
      <c r="H84" s="773"/>
      <c r="I84" s="773"/>
      <c r="J84" s="773"/>
      <c r="K84" s="773"/>
      <c r="L84" s="773"/>
      <c r="M84" s="773"/>
      <c r="N84" s="773"/>
    </row>
    <row r="85" spans="1:14" x14ac:dyDescent="0.3">
      <c r="A85" s="773"/>
      <c r="B85" s="773"/>
      <c r="C85" s="773"/>
      <c r="D85" s="773"/>
      <c r="E85" s="773"/>
      <c r="F85" s="773"/>
      <c r="G85" s="773"/>
      <c r="H85" s="773"/>
      <c r="I85" s="773"/>
      <c r="J85" s="773"/>
      <c r="K85" s="773"/>
      <c r="L85" s="773"/>
      <c r="M85" s="773"/>
      <c r="N85" s="773"/>
    </row>
    <row r="86" spans="1:14" x14ac:dyDescent="0.3">
      <c r="A86" s="773"/>
      <c r="B86" s="773"/>
      <c r="C86" s="773"/>
      <c r="D86" s="773"/>
      <c r="E86" s="773"/>
      <c r="F86" s="773"/>
      <c r="G86" s="773"/>
      <c r="H86" s="773"/>
      <c r="I86" s="773"/>
      <c r="J86" s="773"/>
      <c r="K86" s="773"/>
      <c r="L86" s="773"/>
      <c r="M86" s="773"/>
      <c r="N86" s="773"/>
    </row>
    <row r="87" spans="1:14" x14ac:dyDescent="0.3">
      <c r="A87" s="773"/>
      <c r="B87" s="773"/>
      <c r="C87" s="773"/>
      <c r="D87" s="773"/>
      <c r="E87" s="773"/>
      <c r="F87" s="773"/>
      <c r="G87" s="773"/>
      <c r="H87" s="773"/>
      <c r="I87" s="773"/>
      <c r="J87" s="773"/>
      <c r="K87" s="773"/>
      <c r="L87" s="773"/>
      <c r="M87" s="773"/>
      <c r="N87" s="773"/>
    </row>
    <row r="88" spans="1:14" x14ac:dyDescent="0.3">
      <c r="A88" s="773"/>
      <c r="B88" s="773"/>
      <c r="C88" s="773"/>
      <c r="D88" s="773"/>
      <c r="E88" s="773"/>
      <c r="F88" s="773"/>
      <c r="G88" s="773"/>
      <c r="H88" s="773"/>
      <c r="I88" s="773"/>
      <c r="J88" s="773"/>
      <c r="K88" s="773"/>
      <c r="L88" s="773"/>
      <c r="M88" s="773"/>
      <c r="N88" s="773"/>
    </row>
    <row r="89" spans="1:14" x14ac:dyDescent="0.3">
      <c r="A89" s="773"/>
      <c r="B89" s="773"/>
      <c r="C89" s="773"/>
      <c r="D89" s="773"/>
      <c r="E89" s="773"/>
      <c r="F89" s="773"/>
      <c r="G89" s="773"/>
      <c r="H89" s="773"/>
      <c r="I89" s="773"/>
      <c r="J89" s="773"/>
      <c r="K89" s="773"/>
      <c r="L89" s="773"/>
      <c r="M89" s="773"/>
      <c r="N89" s="773"/>
    </row>
    <row r="90" spans="1:14" x14ac:dyDescent="0.3">
      <c r="A90" s="773"/>
      <c r="B90" s="773"/>
      <c r="C90" s="773"/>
      <c r="D90" s="773"/>
      <c r="E90" s="773"/>
      <c r="F90" s="773"/>
      <c r="G90" s="773"/>
      <c r="H90" s="773"/>
      <c r="I90" s="773"/>
      <c r="J90" s="773"/>
      <c r="K90" s="773"/>
      <c r="L90" s="773"/>
      <c r="M90" s="773"/>
      <c r="N90" s="773"/>
    </row>
    <row r="91" spans="1:14" x14ac:dyDescent="0.3">
      <c r="A91" s="773"/>
      <c r="B91" s="773"/>
      <c r="C91" s="773"/>
      <c r="D91" s="773"/>
      <c r="E91" s="773"/>
      <c r="F91" s="773"/>
      <c r="G91" s="773"/>
      <c r="H91" s="773"/>
      <c r="I91" s="773"/>
      <c r="J91" s="773"/>
      <c r="K91" s="773"/>
      <c r="L91" s="773"/>
      <c r="M91" s="773"/>
      <c r="N91" s="773"/>
    </row>
    <row r="92" spans="1:14" x14ac:dyDescent="0.3">
      <c r="A92" s="773"/>
      <c r="B92" s="773"/>
      <c r="C92" s="773"/>
      <c r="D92" s="773"/>
      <c r="E92" s="773"/>
      <c r="F92" s="773"/>
      <c r="G92" s="773"/>
      <c r="H92" s="773"/>
      <c r="I92" s="773"/>
      <c r="J92" s="773"/>
      <c r="K92" s="773"/>
      <c r="L92" s="773"/>
      <c r="M92" s="773"/>
      <c r="N92" s="773"/>
    </row>
    <row r="93" spans="1:14" x14ac:dyDescent="0.3">
      <c r="A93" s="773"/>
      <c r="B93" s="773"/>
      <c r="C93" s="773"/>
      <c r="D93" s="773"/>
      <c r="E93" s="773"/>
      <c r="F93" s="773"/>
      <c r="G93" s="773"/>
      <c r="H93" s="773"/>
      <c r="I93" s="773"/>
      <c r="J93" s="773"/>
      <c r="K93" s="773"/>
      <c r="L93" s="773"/>
      <c r="M93" s="773"/>
      <c r="N93" s="773"/>
    </row>
    <row r="94" spans="1:14" x14ac:dyDescent="0.3">
      <c r="A94" s="773"/>
      <c r="B94" s="773"/>
      <c r="C94" s="773"/>
      <c r="D94" s="773"/>
      <c r="E94" s="773"/>
      <c r="F94" s="773"/>
      <c r="G94" s="773"/>
      <c r="H94" s="773"/>
      <c r="I94" s="773"/>
      <c r="J94" s="773"/>
      <c r="K94" s="773"/>
      <c r="L94" s="773"/>
      <c r="M94" s="773"/>
      <c r="N94" s="773"/>
    </row>
    <row r="95" spans="1:14" x14ac:dyDescent="0.3">
      <c r="A95" s="773"/>
      <c r="B95" s="773"/>
      <c r="C95" s="773"/>
      <c r="D95" s="773"/>
      <c r="E95" s="773"/>
      <c r="F95" s="773"/>
      <c r="G95" s="773"/>
      <c r="H95" s="773"/>
      <c r="I95" s="773"/>
      <c r="J95" s="773"/>
      <c r="K95" s="773"/>
      <c r="L95" s="773"/>
      <c r="M95" s="773"/>
      <c r="N95" s="773"/>
    </row>
    <row r="96" spans="1:14" x14ac:dyDescent="0.3">
      <c r="A96" s="773"/>
      <c r="B96" s="773"/>
      <c r="C96" s="773"/>
      <c r="D96" s="773"/>
      <c r="E96" s="773"/>
      <c r="F96" s="773"/>
      <c r="G96" s="773"/>
      <c r="H96" s="773"/>
      <c r="I96" s="773"/>
      <c r="J96" s="773"/>
      <c r="K96" s="773"/>
      <c r="L96" s="773"/>
      <c r="M96" s="773"/>
      <c r="N96" s="773"/>
    </row>
    <row r="97" spans="1:14" x14ac:dyDescent="0.3">
      <c r="A97" s="773"/>
      <c r="B97" s="773"/>
      <c r="C97" s="773"/>
      <c r="D97" s="773"/>
      <c r="E97" s="773"/>
      <c r="F97" s="773"/>
      <c r="G97" s="773"/>
      <c r="H97" s="773"/>
      <c r="I97" s="773"/>
      <c r="J97" s="773"/>
      <c r="K97" s="773"/>
      <c r="L97" s="773"/>
      <c r="M97" s="773"/>
      <c r="N97" s="773"/>
    </row>
    <row r="98" spans="1:14" x14ac:dyDescent="0.3">
      <c r="A98" s="773"/>
      <c r="B98" s="773"/>
      <c r="C98" s="773"/>
      <c r="D98" s="773"/>
      <c r="E98" s="773"/>
      <c r="F98" s="773"/>
      <c r="G98" s="773"/>
      <c r="H98" s="773"/>
      <c r="I98" s="773"/>
      <c r="J98" s="773"/>
      <c r="K98" s="773"/>
      <c r="L98" s="773"/>
      <c r="M98" s="773"/>
      <c r="N98" s="773"/>
    </row>
    <row r="99" spans="1:14" x14ac:dyDescent="0.3">
      <c r="A99" s="773"/>
      <c r="B99" s="773"/>
      <c r="C99" s="773"/>
      <c r="D99" s="773"/>
      <c r="E99" s="773"/>
      <c r="F99" s="773"/>
      <c r="G99" s="773"/>
      <c r="H99" s="773"/>
      <c r="I99" s="773"/>
      <c r="J99" s="773"/>
      <c r="K99" s="773"/>
      <c r="L99" s="773"/>
      <c r="M99" s="773"/>
      <c r="N99" s="773"/>
    </row>
    <row r="100" spans="1:14" x14ac:dyDescent="0.3">
      <c r="A100" s="773"/>
      <c r="B100" s="773"/>
      <c r="C100" s="773"/>
      <c r="D100" s="773"/>
      <c r="E100" s="773"/>
      <c r="F100" s="773"/>
      <c r="G100" s="773"/>
      <c r="H100" s="773"/>
      <c r="I100" s="773"/>
      <c r="J100" s="773"/>
      <c r="K100" s="773"/>
      <c r="L100" s="773"/>
      <c r="M100" s="773"/>
      <c r="N100" s="773"/>
    </row>
    <row r="101" spans="1:14" x14ac:dyDescent="0.3">
      <c r="A101" s="773"/>
      <c r="B101" s="773"/>
      <c r="C101" s="773"/>
      <c r="D101" s="773"/>
      <c r="E101" s="773"/>
      <c r="F101" s="773"/>
      <c r="G101" s="773"/>
      <c r="H101" s="773"/>
      <c r="I101" s="773"/>
      <c r="J101" s="773"/>
      <c r="K101" s="773"/>
      <c r="L101" s="773"/>
      <c r="M101" s="773"/>
      <c r="N101" s="773"/>
    </row>
    <row r="102" spans="1:14" x14ac:dyDescent="0.3">
      <c r="A102" s="773"/>
      <c r="B102" s="773"/>
      <c r="C102" s="773"/>
      <c r="D102" s="773"/>
      <c r="E102" s="773"/>
      <c r="F102" s="773"/>
      <c r="G102" s="773"/>
      <c r="H102" s="773"/>
      <c r="I102" s="773"/>
      <c r="J102" s="773"/>
      <c r="K102" s="773"/>
      <c r="L102" s="773"/>
      <c r="M102" s="773"/>
      <c r="N102" s="773"/>
    </row>
    <row r="103" spans="1:14" x14ac:dyDescent="0.3">
      <c r="A103" s="773"/>
      <c r="B103" s="773"/>
      <c r="C103" s="773"/>
      <c r="D103" s="773"/>
      <c r="E103" s="773"/>
      <c r="F103" s="773"/>
      <c r="G103" s="773"/>
      <c r="H103" s="773"/>
      <c r="I103" s="773"/>
      <c r="J103" s="773"/>
      <c r="K103" s="773"/>
      <c r="L103" s="773"/>
      <c r="M103" s="773"/>
      <c r="N103" s="773"/>
    </row>
    <row r="104" spans="1:14" x14ac:dyDescent="0.3">
      <c r="A104" s="773"/>
      <c r="B104" s="773"/>
      <c r="C104" s="773"/>
      <c r="D104" s="773"/>
      <c r="E104" s="773"/>
      <c r="F104" s="773"/>
      <c r="G104" s="773"/>
      <c r="H104" s="773"/>
      <c r="I104" s="773"/>
      <c r="J104" s="773"/>
      <c r="K104" s="773"/>
      <c r="L104" s="773"/>
      <c r="M104" s="773"/>
      <c r="N104" s="773"/>
    </row>
    <row r="105" spans="1:14" x14ac:dyDescent="0.3">
      <c r="A105" s="773"/>
      <c r="B105" s="773"/>
      <c r="C105" s="773"/>
      <c r="D105" s="773"/>
      <c r="E105" s="773"/>
      <c r="F105" s="773"/>
      <c r="G105" s="773"/>
      <c r="H105" s="773"/>
      <c r="I105" s="773"/>
      <c r="J105" s="773"/>
      <c r="K105" s="773"/>
      <c r="L105" s="773"/>
      <c r="M105" s="773"/>
      <c r="N105" s="773"/>
    </row>
    <row r="106" spans="1:14" x14ac:dyDescent="0.3">
      <c r="A106" s="773"/>
      <c r="B106" s="773"/>
      <c r="C106" s="773"/>
      <c r="D106" s="773"/>
      <c r="E106" s="773"/>
      <c r="F106" s="773"/>
      <c r="G106" s="773"/>
      <c r="H106" s="773"/>
      <c r="I106" s="773"/>
      <c r="J106" s="773"/>
      <c r="K106" s="773"/>
      <c r="L106" s="773"/>
      <c r="M106" s="773"/>
      <c r="N106" s="773"/>
    </row>
    <row r="107" spans="1:14" x14ac:dyDescent="0.3">
      <c r="A107" s="773"/>
      <c r="B107" s="773"/>
      <c r="C107" s="773"/>
      <c r="D107" s="773"/>
      <c r="E107" s="773"/>
      <c r="F107" s="773"/>
      <c r="G107" s="773"/>
      <c r="H107" s="773"/>
      <c r="I107" s="773"/>
      <c r="J107" s="773"/>
      <c r="K107" s="773"/>
      <c r="L107" s="773"/>
      <c r="M107" s="773"/>
      <c r="N107" s="773"/>
    </row>
    <row r="108" spans="1:14" x14ac:dyDescent="0.3">
      <c r="A108" s="773"/>
      <c r="B108" s="773"/>
      <c r="C108" s="773"/>
      <c r="D108" s="773"/>
      <c r="E108" s="773"/>
      <c r="F108" s="773"/>
      <c r="G108" s="773"/>
      <c r="H108" s="773"/>
      <c r="I108" s="773"/>
      <c r="J108" s="773"/>
      <c r="K108" s="773"/>
      <c r="L108" s="773"/>
      <c r="M108" s="773"/>
      <c r="N108" s="773"/>
    </row>
    <row r="109" spans="1:14" x14ac:dyDescent="0.3">
      <c r="A109" s="773"/>
      <c r="B109" s="773"/>
      <c r="C109" s="773"/>
      <c r="D109" s="773"/>
      <c r="E109" s="773"/>
      <c r="F109" s="773"/>
      <c r="G109" s="773"/>
      <c r="H109" s="773"/>
      <c r="I109" s="773"/>
      <c r="J109" s="773"/>
      <c r="K109" s="773"/>
      <c r="L109" s="773"/>
      <c r="M109" s="773"/>
      <c r="N109" s="773"/>
    </row>
    <row r="110" spans="1:14" x14ac:dyDescent="0.3">
      <c r="A110" s="773"/>
      <c r="B110" s="773"/>
      <c r="C110" s="773"/>
      <c r="D110" s="773"/>
      <c r="E110" s="773"/>
      <c r="F110" s="773"/>
      <c r="G110" s="773"/>
      <c r="H110" s="773"/>
      <c r="I110" s="773"/>
      <c r="J110" s="773"/>
      <c r="K110" s="773"/>
      <c r="L110" s="773"/>
      <c r="M110" s="773"/>
      <c r="N110" s="773"/>
    </row>
    <row r="111" spans="1:14" x14ac:dyDescent="0.3">
      <c r="A111" s="773"/>
      <c r="B111" s="773"/>
      <c r="C111" s="773"/>
      <c r="D111" s="773"/>
      <c r="E111" s="773"/>
      <c r="F111" s="773"/>
      <c r="G111" s="773"/>
      <c r="H111" s="773"/>
      <c r="I111" s="773"/>
      <c r="J111" s="773"/>
      <c r="K111" s="773"/>
      <c r="L111" s="773"/>
      <c r="M111" s="773"/>
      <c r="N111" s="773"/>
    </row>
    <row r="112" spans="1:14" x14ac:dyDescent="0.3">
      <c r="A112" s="773"/>
      <c r="B112" s="773"/>
      <c r="C112" s="773"/>
      <c r="D112" s="773"/>
      <c r="E112" s="773"/>
      <c r="F112" s="773"/>
      <c r="G112" s="773"/>
      <c r="H112" s="773"/>
      <c r="I112" s="773"/>
      <c r="J112" s="773"/>
      <c r="K112" s="773"/>
      <c r="L112" s="773"/>
      <c r="M112" s="773"/>
      <c r="N112" s="773"/>
    </row>
    <row r="113" spans="1:14" x14ac:dyDescent="0.3">
      <c r="A113" s="773"/>
      <c r="B113" s="773"/>
      <c r="C113" s="773"/>
      <c r="D113" s="773"/>
      <c r="E113" s="773"/>
      <c r="F113" s="773"/>
      <c r="G113" s="773"/>
      <c r="H113" s="773"/>
      <c r="I113" s="773"/>
      <c r="J113" s="773"/>
      <c r="K113" s="773"/>
      <c r="L113" s="773"/>
      <c r="M113" s="773"/>
      <c r="N113" s="773"/>
    </row>
    <row r="114" spans="1:14" x14ac:dyDescent="0.3">
      <c r="A114" s="773"/>
      <c r="B114" s="773"/>
      <c r="C114" s="773"/>
      <c r="D114" s="773"/>
      <c r="E114" s="773"/>
      <c r="F114" s="773"/>
      <c r="G114" s="773"/>
      <c r="H114" s="773"/>
      <c r="I114" s="773"/>
      <c r="J114" s="773"/>
      <c r="K114" s="773"/>
      <c r="L114" s="773"/>
      <c r="M114" s="773"/>
      <c r="N114" s="773"/>
    </row>
    <row r="115" spans="1:14" x14ac:dyDescent="0.3">
      <c r="A115" s="773"/>
      <c r="B115" s="773"/>
      <c r="C115" s="773"/>
      <c r="D115" s="773"/>
      <c r="E115" s="773"/>
      <c r="F115" s="773"/>
      <c r="G115" s="773"/>
      <c r="H115" s="773"/>
      <c r="I115" s="773"/>
      <c r="J115" s="773"/>
      <c r="K115" s="773"/>
      <c r="L115" s="773"/>
      <c r="M115" s="773"/>
      <c r="N115" s="773"/>
    </row>
    <row r="116" spans="1:14" x14ac:dyDescent="0.3">
      <c r="A116" s="773"/>
      <c r="B116" s="773"/>
      <c r="C116" s="773"/>
      <c r="D116" s="773"/>
      <c r="E116" s="773"/>
      <c r="F116" s="773"/>
      <c r="G116" s="773"/>
      <c r="H116" s="773"/>
      <c r="I116" s="773"/>
      <c r="J116" s="773"/>
      <c r="K116" s="773"/>
      <c r="L116" s="773"/>
      <c r="M116" s="773"/>
      <c r="N116" s="773"/>
    </row>
    <row r="117" spans="1:14" x14ac:dyDescent="0.3">
      <c r="A117" s="773"/>
      <c r="B117" s="773"/>
      <c r="C117" s="773"/>
      <c r="D117" s="773"/>
      <c r="E117" s="773"/>
      <c r="F117" s="773"/>
      <c r="G117" s="773"/>
      <c r="H117" s="773"/>
      <c r="I117" s="773"/>
      <c r="J117" s="773"/>
      <c r="K117" s="773"/>
      <c r="L117" s="773"/>
      <c r="M117" s="773"/>
      <c r="N117" s="773"/>
    </row>
    <row r="118" spans="1:14" x14ac:dyDescent="0.3">
      <c r="A118" s="773"/>
      <c r="B118" s="773"/>
      <c r="C118" s="773"/>
      <c r="D118" s="773"/>
      <c r="E118" s="773"/>
      <c r="F118" s="773"/>
      <c r="G118" s="773"/>
      <c r="H118" s="773"/>
      <c r="I118" s="773"/>
      <c r="J118" s="773"/>
      <c r="K118" s="773"/>
      <c r="L118" s="773"/>
      <c r="M118" s="773"/>
      <c r="N118" s="773"/>
    </row>
    <row r="119" spans="1:14" x14ac:dyDescent="0.3">
      <c r="A119" s="773"/>
      <c r="B119" s="773"/>
      <c r="C119" s="773"/>
      <c r="D119" s="773"/>
      <c r="E119" s="773"/>
      <c r="F119" s="773"/>
      <c r="G119" s="773"/>
      <c r="H119" s="773"/>
      <c r="I119" s="773"/>
      <c r="J119" s="773"/>
      <c r="K119" s="773"/>
      <c r="L119" s="773"/>
      <c r="M119" s="773"/>
      <c r="N119" s="773"/>
    </row>
    <row r="120" spans="1:14" x14ac:dyDescent="0.3">
      <c r="A120" s="773"/>
      <c r="B120" s="773"/>
      <c r="C120" s="773"/>
      <c r="D120" s="773"/>
      <c r="E120" s="773"/>
      <c r="F120" s="773"/>
      <c r="G120" s="773"/>
      <c r="H120" s="773"/>
      <c r="I120" s="773"/>
      <c r="J120" s="773"/>
      <c r="K120" s="773"/>
      <c r="L120" s="773"/>
      <c r="M120" s="773"/>
      <c r="N120" s="773"/>
    </row>
    <row r="121" spans="1:14" x14ac:dyDescent="0.3">
      <c r="A121" s="773"/>
      <c r="B121" s="773"/>
      <c r="C121" s="773"/>
      <c r="D121" s="773"/>
      <c r="E121" s="773"/>
      <c r="F121" s="773"/>
      <c r="G121" s="773"/>
      <c r="H121" s="773"/>
      <c r="I121" s="773"/>
      <c r="J121" s="773"/>
      <c r="K121" s="773"/>
      <c r="L121" s="773"/>
      <c r="M121" s="773"/>
      <c r="N121" s="773"/>
    </row>
    <row r="122" spans="1:14" x14ac:dyDescent="0.3">
      <c r="A122" s="773"/>
      <c r="B122" s="773"/>
      <c r="C122" s="773"/>
      <c r="D122" s="773"/>
      <c r="E122" s="773"/>
      <c r="F122" s="773"/>
      <c r="G122" s="773"/>
      <c r="H122" s="773"/>
      <c r="I122" s="773"/>
      <c r="J122" s="773"/>
      <c r="K122" s="773"/>
      <c r="L122" s="773"/>
      <c r="M122" s="773"/>
      <c r="N122" s="773"/>
    </row>
    <row r="123" spans="1:14" x14ac:dyDescent="0.3">
      <c r="A123" s="773"/>
      <c r="B123" s="773"/>
      <c r="C123" s="773"/>
      <c r="D123" s="773"/>
      <c r="E123" s="773"/>
      <c r="F123" s="773"/>
      <c r="G123" s="773"/>
      <c r="H123" s="773"/>
      <c r="I123" s="773"/>
      <c r="J123" s="773"/>
      <c r="K123" s="773"/>
      <c r="L123" s="773"/>
      <c r="M123" s="773"/>
      <c r="N123" s="773"/>
    </row>
    <row r="124" spans="1:14" x14ac:dyDescent="0.3">
      <c r="A124" s="773"/>
      <c r="B124" s="773"/>
      <c r="C124" s="773"/>
      <c r="D124" s="773"/>
      <c r="E124" s="773"/>
      <c r="F124" s="773"/>
      <c r="G124" s="773"/>
      <c r="H124" s="773"/>
      <c r="I124" s="773"/>
      <c r="J124" s="773"/>
      <c r="K124" s="773"/>
      <c r="L124" s="773"/>
      <c r="M124" s="773"/>
      <c r="N124" s="773"/>
    </row>
    <row r="125" spans="1:14" x14ac:dyDescent="0.3">
      <c r="A125" s="773"/>
      <c r="B125" s="773"/>
      <c r="C125" s="773"/>
      <c r="D125" s="773"/>
      <c r="E125" s="773"/>
      <c r="F125" s="773"/>
      <c r="G125" s="773"/>
      <c r="H125" s="773"/>
      <c r="I125" s="773"/>
      <c r="J125" s="773"/>
      <c r="K125" s="773"/>
      <c r="L125" s="773"/>
      <c r="M125" s="773"/>
      <c r="N125" s="773"/>
    </row>
    <row r="126" spans="1:14" x14ac:dyDescent="0.3">
      <c r="A126" s="773"/>
      <c r="B126" s="773"/>
      <c r="C126" s="773"/>
      <c r="D126" s="773"/>
      <c r="E126" s="773"/>
      <c r="F126" s="773"/>
      <c r="G126" s="773"/>
      <c r="H126" s="773"/>
      <c r="I126" s="773"/>
      <c r="J126" s="773"/>
      <c r="K126" s="773"/>
      <c r="L126" s="773"/>
      <c r="M126" s="773"/>
      <c r="N126" s="773"/>
    </row>
    <row r="127" spans="1:14" x14ac:dyDescent="0.3">
      <c r="A127" s="773"/>
      <c r="B127" s="773"/>
      <c r="C127" s="773"/>
      <c r="D127" s="773"/>
      <c r="E127" s="773"/>
      <c r="F127" s="773"/>
      <c r="G127" s="773"/>
      <c r="H127" s="773"/>
      <c r="I127" s="773"/>
      <c r="J127" s="773"/>
      <c r="K127" s="773"/>
      <c r="L127" s="773"/>
      <c r="M127" s="773"/>
      <c r="N127" s="773"/>
    </row>
    <row r="128" spans="1:14" x14ac:dyDescent="0.3">
      <c r="A128" s="773"/>
      <c r="B128" s="773"/>
      <c r="C128" s="773"/>
      <c r="D128" s="773"/>
      <c r="E128" s="773"/>
      <c r="F128" s="773"/>
      <c r="G128" s="773"/>
      <c r="H128" s="773"/>
      <c r="I128" s="773"/>
      <c r="J128" s="773"/>
      <c r="K128" s="773"/>
      <c r="L128" s="773"/>
      <c r="M128" s="773"/>
      <c r="N128" s="773"/>
    </row>
    <row r="129" spans="1:14" x14ac:dyDescent="0.3">
      <c r="A129" s="773"/>
      <c r="B129" s="773"/>
      <c r="C129" s="773"/>
      <c r="D129" s="773"/>
      <c r="E129" s="773"/>
      <c r="F129" s="773"/>
      <c r="G129" s="773"/>
      <c r="H129" s="773"/>
      <c r="I129" s="773"/>
      <c r="J129" s="773"/>
      <c r="K129" s="773"/>
      <c r="L129" s="773"/>
      <c r="M129" s="773"/>
      <c r="N129" s="773"/>
    </row>
    <row r="130" spans="1:14" x14ac:dyDescent="0.3">
      <c r="A130" s="773"/>
      <c r="B130" s="773"/>
      <c r="C130" s="773"/>
      <c r="D130" s="773"/>
      <c r="E130" s="773"/>
      <c r="F130" s="773"/>
      <c r="G130" s="773"/>
      <c r="H130" s="773"/>
      <c r="I130" s="773"/>
      <c r="J130" s="773"/>
      <c r="K130" s="773"/>
      <c r="L130" s="773"/>
      <c r="M130" s="773"/>
      <c r="N130" s="773"/>
    </row>
    <row r="131" spans="1:14" x14ac:dyDescent="0.3">
      <c r="A131" s="773"/>
      <c r="B131" s="773"/>
      <c r="C131" s="773"/>
      <c r="D131" s="773"/>
      <c r="E131" s="773"/>
      <c r="F131" s="773"/>
      <c r="G131" s="773"/>
      <c r="H131" s="773"/>
      <c r="I131" s="773"/>
      <c r="J131" s="773"/>
      <c r="K131" s="773"/>
      <c r="L131" s="773"/>
      <c r="M131" s="773"/>
      <c r="N131" s="773"/>
    </row>
    <row r="132" spans="1:14" x14ac:dyDescent="0.3">
      <c r="A132" s="773"/>
      <c r="B132" s="773"/>
      <c r="C132" s="773"/>
      <c r="D132" s="773"/>
      <c r="E132" s="773"/>
      <c r="F132" s="773"/>
      <c r="G132" s="773"/>
      <c r="H132" s="773"/>
      <c r="I132" s="773"/>
      <c r="J132" s="773"/>
      <c r="K132" s="773"/>
      <c r="L132" s="773"/>
      <c r="M132" s="773"/>
      <c r="N132" s="773"/>
    </row>
    <row r="133" spans="1:14" x14ac:dyDescent="0.3">
      <c r="A133" s="773"/>
      <c r="B133" s="773"/>
      <c r="C133" s="773"/>
      <c r="D133" s="773"/>
      <c r="E133" s="773"/>
      <c r="F133" s="773"/>
      <c r="G133" s="773"/>
      <c r="H133" s="773"/>
      <c r="I133" s="773"/>
      <c r="J133" s="773"/>
      <c r="K133" s="773"/>
      <c r="L133" s="773"/>
      <c r="M133" s="773"/>
      <c r="N133" s="773"/>
    </row>
    <row r="134" spans="1:14" x14ac:dyDescent="0.3">
      <c r="A134" s="773"/>
      <c r="B134" s="773"/>
      <c r="C134" s="773"/>
      <c r="D134" s="773"/>
      <c r="E134" s="773"/>
      <c r="F134" s="773"/>
      <c r="G134" s="773"/>
      <c r="H134" s="773"/>
      <c r="I134" s="773"/>
      <c r="J134" s="773"/>
      <c r="K134" s="773"/>
      <c r="L134" s="773"/>
      <c r="M134" s="773"/>
      <c r="N134" s="773"/>
    </row>
    <row r="135" spans="1:14" x14ac:dyDescent="0.3">
      <c r="A135" s="773"/>
      <c r="B135" s="773"/>
      <c r="C135" s="773"/>
      <c r="D135" s="773"/>
      <c r="E135" s="773"/>
      <c r="F135" s="773"/>
      <c r="G135" s="773"/>
      <c r="H135" s="773"/>
      <c r="I135" s="773"/>
      <c r="J135" s="773"/>
      <c r="K135" s="773"/>
      <c r="L135" s="773"/>
      <c r="M135" s="773"/>
      <c r="N135" s="773"/>
    </row>
    <row r="136" spans="1:14" x14ac:dyDescent="0.3">
      <c r="A136" s="773"/>
      <c r="B136" s="773"/>
      <c r="C136" s="773"/>
      <c r="D136" s="773"/>
      <c r="E136" s="773"/>
      <c r="F136" s="773"/>
      <c r="G136" s="773"/>
      <c r="H136" s="773"/>
      <c r="I136" s="773"/>
      <c r="J136" s="773"/>
      <c r="K136" s="773"/>
      <c r="L136" s="773"/>
      <c r="M136" s="773"/>
      <c r="N136" s="773"/>
    </row>
    <row r="137" spans="1:14" x14ac:dyDescent="0.3">
      <c r="A137" s="773"/>
      <c r="B137" s="773"/>
      <c r="C137" s="773"/>
      <c r="D137" s="773"/>
      <c r="E137" s="773"/>
      <c r="F137" s="773"/>
      <c r="G137" s="773"/>
      <c r="H137" s="773"/>
      <c r="I137" s="773"/>
      <c r="J137" s="773"/>
      <c r="K137" s="773"/>
      <c r="L137" s="773"/>
      <c r="M137" s="773"/>
      <c r="N137" s="773"/>
    </row>
    <row r="138" spans="1:14" x14ac:dyDescent="0.3">
      <c r="A138" s="773"/>
      <c r="B138" s="773"/>
      <c r="C138" s="773"/>
      <c r="D138" s="773"/>
      <c r="E138" s="773"/>
      <c r="F138" s="773"/>
      <c r="G138" s="773"/>
      <c r="H138" s="773"/>
      <c r="I138" s="773"/>
      <c r="J138" s="773"/>
      <c r="K138" s="773"/>
      <c r="L138" s="773"/>
      <c r="M138" s="773"/>
      <c r="N138" s="773"/>
    </row>
    <row r="139" spans="1:14" x14ac:dyDescent="0.3">
      <c r="A139" s="773"/>
      <c r="B139" s="773"/>
      <c r="C139" s="773"/>
      <c r="D139" s="773"/>
      <c r="E139" s="773"/>
      <c r="F139" s="773"/>
      <c r="G139" s="773"/>
      <c r="H139" s="773"/>
      <c r="I139" s="773"/>
      <c r="J139" s="773"/>
      <c r="K139" s="773"/>
      <c r="L139" s="773"/>
      <c r="M139" s="773"/>
      <c r="N139" s="773"/>
    </row>
    <row r="140" spans="1:14" x14ac:dyDescent="0.3">
      <c r="A140" s="773"/>
      <c r="B140" s="773"/>
      <c r="C140" s="773"/>
      <c r="D140" s="773"/>
      <c r="E140" s="773"/>
      <c r="F140" s="773"/>
      <c r="G140" s="773"/>
      <c r="H140" s="773"/>
      <c r="I140" s="773"/>
      <c r="J140" s="773"/>
      <c r="K140" s="773"/>
      <c r="L140" s="773"/>
      <c r="M140" s="773"/>
      <c r="N140" s="773"/>
    </row>
    <row r="141" spans="1:14" x14ac:dyDescent="0.3">
      <c r="A141" s="773"/>
      <c r="B141" s="773"/>
      <c r="C141" s="773"/>
      <c r="D141" s="773"/>
      <c r="E141" s="773"/>
      <c r="F141" s="773"/>
      <c r="G141" s="773"/>
      <c r="H141" s="773"/>
      <c r="I141" s="773"/>
      <c r="J141" s="773"/>
      <c r="K141" s="773"/>
      <c r="L141" s="773"/>
      <c r="M141" s="773"/>
      <c r="N141" s="773"/>
    </row>
    <row r="142" spans="1:14" x14ac:dyDescent="0.3">
      <c r="A142" s="773"/>
      <c r="B142" s="773"/>
      <c r="C142" s="773"/>
      <c r="D142" s="773"/>
      <c r="E142" s="773"/>
      <c r="F142" s="773"/>
      <c r="G142" s="773"/>
      <c r="H142" s="773"/>
      <c r="I142" s="773"/>
      <c r="J142" s="773"/>
      <c r="K142" s="773"/>
      <c r="L142" s="773"/>
      <c r="M142" s="773"/>
      <c r="N142" s="773"/>
    </row>
    <row r="143" spans="1:14" x14ac:dyDescent="0.3">
      <c r="A143" s="773"/>
      <c r="B143" s="773"/>
      <c r="C143" s="773"/>
      <c r="D143" s="773"/>
      <c r="E143" s="773"/>
      <c r="F143" s="773"/>
      <c r="G143" s="773"/>
      <c r="H143" s="773"/>
      <c r="I143" s="773"/>
      <c r="J143" s="773"/>
      <c r="K143" s="773"/>
      <c r="L143" s="773"/>
      <c r="M143" s="773"/>
      <c r="N143" s="773"/>
    </row>
    <row r="144" spans="1:14" x14ac:dyDescent="0.3">
      <c r="A144" s="773"/>
      <c r="B144" s="773"/>
      <c r="C144" s="773"/>
      <c r="D144" s="773"/>
      <c r="E144" s="773"/>
      <c r="F144" s="773"/>
      <c r="G144" s="773"/>
      <c r="H144" s="773"/>
      <c r="I144" s="773"/>
      <c r="J144" s="773"/>
      <c r="K144" s="773"/>
      <c r="L144" s="773"/>
      <c r="M144" s="773"/>
      <c r="N144" s="773"/>
    </row>
    <row r="145" spans="1:14" x14ac:dyDescent="0.3">
      <c r="A145" s="773"/>
      <c r="B145" s="773"/>
      <c r="C145" s="773"/>
      <c r="D145" s="773"/>
      <c r="E145" s="773"/>
      <c r="F145" s="773"/>
      <c r="G145" s="773"/>
      <c r="H145" s="773"/>
      <c r="I145" s="773"/>
      <c r="J145" s="773"/>
      <c r="K145" s="773"/>
      <c r="L145" s="773"/>
      <c r="M145" s="773"/>
      <c r="N145" s="773"/>
    </row>
    <row r="146" spans="1:14" x14ac:dyDescent="0.3">
      <c r="A146" s="773"/>
      <c r="B146" s="773"/>
      <c r="C146" s="773"/>
      <c r="D146" s="773"/>
      <c r="E146" s="773"/>
      <c r="F146" s="773"/>
      <c r="G146" s="773"/>
      <c r="H146" s="773"/>
      <c r="I146" s="773"/>
      <c r="J146" s="773"/>
      <c r="K146" s="773"/>
      <c r="L146" s="773"/>
      <c r="M146" s="773"/>
      <c r="N146" s="773"/>
    </row>
    <row r="147" spans="1:14" x14ac:dyDescent="0.3">
      <c r="A147" s="773"/>
      <c r="B147" s="773"/>
      <c r="C147" s="773"/>
      <c r="D147" s="773"/>
      <c r="E147" s="773"/>
      <c r="F147" s="773"/>
      <c r="G147" s="773"/>
      <c r="H147" s="773"/>
      <c r="I147" s="773"/>
      <c r="J147" s="773"/>
      <c r="K147" s="773"/>
      <c r="L147" s="773"/>
      <c r="M147" s="773"/>
      <c r="N147" s="773"/>
    </row>
    <row r="148" spans="1:14" x14ac:dyDescent="0.3">
      <c r="A148" s="773"/>
      <c r="B148" s="773"/>
      <c r="C148" s="773"/>
      <c r="D148" s="773"/>
      <c r="E148" s="773"/>
      <c r="F148" s="773"/>
      <c r="G148" s="773"/>
      <c r="H148" s="773"/>
      <c r="I148" s="773"/>
      <c r="J148" s="773"/>
      <c r="K148" s="773"/>
      <c r="L148" s="773"/>
      <c r="M148" s="773"/>
      <c r="N148" s="773"/>
    </row>
    <row r="149" spans="1:14" x14ac:dyDescent="0.3">
      <c r="A149" s="773"/>
      <c r="B149" s="773"/>
      <c r="C149" s="773"/>
      <c r="D149" s="773"/>
      <c r="E149" s="773"/>
      <c r="F149" s="773"/>
      <c r="G149" s="773"/>
      <c r="H149" s="773"/>
      <c r="I149" s="773"/>
      <c r="J149" s="773"/>
      <c r="K149" s="773"/>
      <c r="L149" s="773"/>
      <c r="M149" s="773"/>
      <c r="N149" s="773"/>
    </row>
    <row r="150" spans="1:14" x14ac:dyDescent="0.3">
      <c r="A150" s="773"/>
      <c r="B150" s="773"/>
      <c r="C150" s="773"/>
      <c r="D150" s="773"/>
      <c r="E150" s="773"/>
      <c r="F150" s="773"/>
      <c r="G150" s="773"/>
      <c r="H150" s="773"/>
      <c r="I150" s="773"/>
      <c r="J150" s="773"/>
      <c r="K150" s="773"/>
      <c r="L150" s="773"/>
      <c r="M150" s="773"/>
      <c r="N150" s="773"/>
    </row>
    <row r="151" spans="1:14" x14ac:dyDescent="0.3">
      <c r="A151" s="773"/>
      <c r="B151" s="773"/>
      <c r="C151" s="773"/>
      <c r="D151" s="773"/>
      <c r="E151" s="773"/>
      <c r="F151" s="773"/>
      <c r="G151" s="773"/>
      <c r="H151" s="773"/>
      <c r="I151" s="773"/>
      <c r="J151" s="773"/>
      <c r="K151" s="773"/>
      <c r="L151" s="773"/>
      <c r="M151" s="773"/>
      <c r="N151" s="773"/>
    </row>
    <row r="152" spans="1:14" x14ac:dyDescent="0.3">
      <c r="A152" s="773"/>
      <c r="B152" s="773"/>
      <c r="C152" s="773"/>
      <c r="D152" s="773"/>
      <c r="E152" s="773"/>
      <c r="F152" s="773"/>
      <c r="G152" s="773"/>
      <c r="H152" s="773"/>
      <c r="I152" s="773"/>
      <c r="J152" s="773"/>
      <c r="K152" s="773"/>
      <c r="L152" s="773"/>
      <c r="M152" s="773"/>
      <c r="N152" s="773"/>
    </row>
    <row r="153" spans="1:14" x14ac:dyDescent="0.3">
      <c r="A153" s="773"/>
      <c r="B153" s="773"/>
      <c r="C153" s="773"/>
      <c r="D153" s="773"/>
      <c r="E153" s="773"/>
      <c r="F153" s="773"/>
      <c r="G153" s="773"/>
      <c r="H153" s="773"/>
      <c r="I153" s="773"/>
      <c r="J153" s="773"/>
      <c r="K153" s="773"/>
      <c r="L153" s="773"/>
      <c r="M153" s="773"/>
      <c r="N153" s="773"/>
    </row>
    <row r="154" spans="1:14" x14ac:dyDescent="0.3">
      <c r="A154" s="773"/>
      <c r="B154" s="773"/>
      <c r="C154" s="773"/>
      <c r="D154" s="773"/>
      <c r="E154" s="773"/>
      <c r="F154" s="773"/>
      <c r="G154" s="773"/>
      <c r="H154" s="773"/>
      <c r="I154" s="773"/>
      <c r="J154" s="773"/>
      <c r="K154" s="773"/>
      <c r="L154" s="773"/>
      <c r="M154" s="773"/>
      <c r="N154" s="773"/>
    </row>
    <row r="155" spans="1:14" x14ac:dyDescent="0.3">
      <c r="A155" s="773"/>
      <c r="B155" s="773"/>
      <c r="C155" s="773"/>
      <c r="D155" s="773"/>
      <c r="E155" s="773"/>
      <c r="F155" s="773"/>
      <c r="G155" s="773"/>
      <c r="H155" s="773"/>
      <c r="I155" s="773"/>
      <c r="J155" s="773"/>
      <c r="K155" s="773"/>
      <c r="L155" s="773"/>
      <c r="M155" s="773"/>
      <c r="N155" s="773"/>
    </row>
    <row r="156" spans="1:14" x14ac:dyDescent="0.3">
      <c r="A156" s="773"/>
      <c r="B156" s="773"/>
      <c r="C156" s="773"/>
      <c r="D156" s="773"/>
      <c r="E156" s="773"/>
      <c r="F156" s="773"/>
      <c r="G156" s="773"/>
      <c r="H156" s="773"/>
      <c r="I156" s="773"/>
      <c r="J156" s="773"/>
      <c r="K156" s="773"/>
      <c r="L156" s="773"/>
      <c r="M156" s="773"/>
      <c r="N156" s="773"/>
    </row>
    <row r="157" spans="1:14" x14ac:dyDescent="0.3">
      <c r="A157" s="773"/>
      <c r="B157" s="773"/>
      <c r="C157" s="773"/>
      <c r="D157" s="773"/>
      <c r="E157" s="773"/>
      <c r="F157" s="773"/>
      <c r="G157" s="773"/>
      <c r="H157" s="773"/>
      <c r="I157" s="773"/>
      <c r="J157" s="773"/>
      <c r="K157" s="773"/>
      <c r="L157" s="773"/>
      <c r="M157" s="773"/>
      <c r="N157" s="773"/>
    </row>
    <row r="158" spans="1:14" x14ac:dyDescent="0.3">
      <c r="A158" s="773"/>
      <c r="B158" s="773"/>
      <c r="C158" s="773"/>
      <c r="D158" s="773"/>
      <c r="E158" s="773"/>
      <c r="F158" s="773"/>
      <c r="G158" s="773"/>
      <c r="H158" s="773"/>
      <c r="I158" s="773"/>
      <c r="J158" s="773"/>
      <c r="K158" s="773"/>
      <c r="L158" s="773"/>
      <c r="M158" s="773"/>
      <c r="N158" s="773"/>
    </row>
    <row r="159" spans="1:14" x14ac:dyDescent="0.3">
      <c r="A159" s="773"/>
      <c r="B159" s="773"/>
      <c r="C159" s="773"/>
      <c r="D159" s="773"/>
      <c r="E159" s="773"/>
      <c r="F159" s="773"/>
      <c r="G159" s="773"/>
      <c r="H159" s="773"/>
      <c r="I159" s="773"/>
      <c r="J159" s="773"/>
      <c r="K159" s="773"/>
      <c r="L159" s="773"/>
      <c r="M159" s="773"/>
      <c r="N159" s="773"/>
    </row>
    <row r="160" spans="1:14" x14ac:dyDescent="0.3">
      <c r="A160" s="773"/>
      <c r="B160" s="773"/>
      <c r="C160" s="773"/>
      <c r="D160" s="773"/>
      <c r="E160" s="773"/>
      <c r="F160" s="773"/>
      <c r="G160" s="773"/>
      <c r="H160" s="773"/>
      <c r="I160" s="773"/>
      <c r="J160" s="773"/>
      <c r="K160" s="773"/>
      <c r="L160" s="773"/>
      <c r="M160" s="773"/>
      <c r="N160" s="773"/>
    </row>
    <row r="161" spans="1:14" x14ac:dyDescent="0.3">
      <c r="A161" s="773"/>
      <c r="B161" s="773"/>
      <c r="C161" s="773"/>
      <c r="D161" s="773"/>
      <c r="E161" s="773"/>
      <c r="F161" s="773"/>
      <c r="G161" s="773"/>
      <c r="H161" s="773"/>
      <c r="I161" s="773"/>
      <c r="J161" s="773"/>
      <c r="K161" s="773"/>
      <c r="L161" s="773"/>
      <c r="M161" s="773"/>
      <c r="N161" s="773"/>
    </row>
    <row r="162" spans="1:14" x14ac:dyDescent="0.3">
      <c r="A162" s="773"/>
      <c r="B162" s="773"/>
      <c r="C162" s="773"/>
      <c r="D162" s="773"/>
      <c r="E162" s="773"/>
      <c r="F162" s="773"/>
      <c r="G162" s="773"/>
      <c r="H162" s="773"/>
      <c r="I162" s="773"/>
      <c r="J162" s="773"/>
      <c r="K162" s="773"/>
      <c r="L162" s="773"/>
      <c r="M162" s="773"/>
      <c r="N162" s="773"/>
    </row>
    <row r="163" spans="1:14" x14ac:dyDescent="0.3">
      <c r="A163" s="773"/>
      <c r="B163" s="773"/>
      <c r="C163" s="773"/>
      <c r="D163" s="773"/>
      <c r="E163" s="773"/>
      <c r="F163" s="773"/>
      <c r="G163" s="773"/>
      <c r="H163" s="773"/>
      <c r="I163" s="773"/>
      <c r="J163" s="773"/>
      <c r="K163" s="773"/>
      <c r="L163" s="773"/>
      <c r="M163" s="773"/>
      <c r="N163" s="773"/>
    </row>
    <row r="164" spans="1:14" x14ac:dyDescent="0.3">
      <c r="A164" s="773"/>
      <c r="B164" s="773"/>
      <c r="C164" s="773"/>
      <c r="D164" s="773"/>
      <c r="E164" s="773"/>
      <c r="F164" s="773"/>
      <c r="G164" s="773"/>
      <c r="H164" s="773"/>
      <c r="I164" s="773"/>
      <c r="J164" s="773"/>
      <c r="K164" s="773"/>
      <c r="L164" s="773"/>
      <c r="M164" s="773"/>
      <c r="N164" s="773"/>
    </row>
    <row r="165" spans="1:14" x14ac:dyDescent="0.3">
      <c r="A165" s="773"/>
      <c r="B165" s="773"/>
      <c r="C165" s="773"/>
      <c r="D165" s="773"/>
      <c r="E165" s="773"/>
      <c r="F165" s="773"/>
      <c r="G165" s="773"/>
      <c r="H165" s="773"/>
      <c r="I165" s="773"/>
      <c r="J165" s="773"/>
      <c r="K165" s="773"/>
      <c r="L165" s="773"/>
      <c r="M165" s="773"/>
      <c r="N165" s="773"/>
    </row>
    <row r="166" spans="1:14" x14ac:dyDescent="0.3">
      <c r="A166" s="773"/>
      <c r="B166" s="773"/>
      <c r="C166" s="773"/>
      <c r="D166" s="773"/>
      <c r="E166" s="773"/>
      <c r="F166" s="773"/>
      <c r="G166" s="773"/>
      <c r="H166" s="773"/>
      <c r="I166" s="773"/>
      <c r="J166" s="773"/>
      <c r="K166" s="773"/>
      <c r="L166" s="773"/>
      <c r="M166" s="773"/>
      <c r="N166" s="773"/>
    </row>
    <row r="167" spans="1:14" x14ac:dyDescent="0.3">
      <c r="A167" s="773"/>
      <c r="B167" s="773"/>
      <c r="C167" s="773"/>
      <c r="D167" s="773"/>
      <c r="E167" s="773"/>
      <c r="F167" s="773"/>
      <c r="G167" s="773"/>
      <c r="H167" s="773"/>
      <c r="I167" s="773"/>
      <c r="J167" s="773"/>
      <c r="K167" s="773"/>
      <c r="L167" s="773"/>
      <c r="M167" s="773"/>
      <c r="N167" s="773"/>
    </row>
    <row r="168" spans="1:14" x14ac:dyDescent="0.3">
      <c r="A168" s="773"/>
      <c r="B168" s="773"/>
      <c r="C168" s="773"/>
      <c r="D168" s="773"/>
      <c r="E168" s="773"/>
      <c r="F168" s="773"/>
      <c r="G168" s="773"/>
      <c r="H168" s="773"/>
      <c r="I168" s="773"/>
      <c r="J168" s="773"/>
      <c r="K168" s="773"/>
      <c r="L168" s="773"/>
      <c r="M168" s="773"/>
      <c r="N168" s="773"/>
    </row>
    <row r="169" spans="1:14" x14ac:dyDescent="0.3">
      <c r="A169" s="773"/>
      <c r="B169" s="773"/>
      <c r="C169" s="773"/>
      <c r="D169" s="773"/>
      <c r="E169" s="773"/>
      <c r="F169" s="773"/>
      <c r="G169" s="773"/>
      <c r="H169" s="773"/>
      <c r="I169" s="773"/>
      <c r="J169" s="773"/>
      <c r="K169" s="773"/>
      <c r="L169" s="773"/>
      <c r="M169" s="773"/>
      <c r="N169" s="773"/>
    </row>
    <row r="170" spans="1:14" x14ac:dyDescent="0.3">
      <c r="A170" s="773"/>
      <c r="B170" s="773"/>
      <c r="C170" s="773"/>
      <c r="D170" s="773"/>
      <c r="E170" s="773"/>
      <c r="F170" s="773"/>
      <c r="G170" s="773"/>
      <c r="H170" s="773"/>
      <c r="I170" s="773"/>
      <c r="J170" s="773"/>
      <c r="K170" s="773"/>
      <c r="L170" s="773"/>
      <c r="M170" s="773"/>
      <c r="N170" s="773"/>
    </row>
    <row r="171" spans="1:14" x14ac:dyDescent="0.3">
      <c r="A171" s="773"/>
      <c r="B171" s="773"/>
      <c r="C171" s="773"/>
      <c r="D171" s="773"/>
      <c r="E171" s="773"/>
      <c r="F171" s="773"/>
      <c r="G171" s="773"/>
      <c r="H171" s="773"/>
      <c r="I171" s="773"/>
      <c r="J171" s="773"/>
      <c r="K171" s="773"/>
      <c r="L171" s="773"/>
      <c r="M171" s="773"/>
      <c r="N171" s="773"/>
    </row>
    <row r="172" spans="1:14" x14ac:dyDescent="0.3">
      <c r="A172" s="773"/>
      <c r="B172" s="773"/>
      <c r="C172" s="773"/>
      <c r="D172" s="773"/>
      <c r="E172" s="773"/>
      <c r="F172" s="773"/>
      <c r="G172" s="773"/>
      <c r="H172" s="773"/>
      <c r="I172" s="773"/>
      <c r="J172" s="773"/>
      <c r="K172" s="773"/>
      <c r="L172" s="773"/>
      <c r="M172" s="773"/>
      <c r="N172" s="773"/>
    </row>
    <row r="173" spans="1:14" x14ac:dyDescent="0.3">
      <c r="A173" s="773"/>
      <c r="B173" s="773"/>
      <c r="C173" s="773"/>
      <c r="D173" s="773"/>
      <c r="E173" s="773"/>
      <c r="F173" s="773"/>
      <c r="G173" s="773"/>
      <c r="H173" s="773"/>
      <c r="I173" s="773"/>
      <c r="J173" s="773"/>
      <c r="K173" s="773"/>
      <c r="L173" s="773"/>
      <c r="M173" s="773"/>
      <c r="N173" s="773"/>
    </row>
    <row r="174" spans="1:14" x14ac:dyDescent="0.3">
      <c r="A174" s="773"/>
      <c r="B174" s="773"/>
      <c r="C174" s="773"/>
      <c r="D174" s="773"/>
      <c r="E174" s="773"/>
      <c r="F174" s="773"/>
      <c r="G174" s="773"/>
      <c r="H174" s="773"/>
      <c r="I174" s="773"/>
      <c r="J174" s="773"/>
      <c r="K174" s="773"/>
      <c r="L174" s="773"/>
      <c r="M174" s="773"/>
      <c r="N174" s="773"/>
    </row>
    <row r="175" spans="1:14" x14ac:dyDescent="0.3">
      <c r="A175" s="773"/>
      <c r="B175" s="773"/>
      <c r="C175" s="773"/>
      <c r="D175" s="773"/>
      <c r="E175" s="773"/>
      <c r="F175" s="773"/>
      <c r="G175" s="773"/>
      <c r="H175" s="773"/>
      <c r="I175" s="773"/>
      <c r="J175" s="773"/>
      <c r="K175" s="773"/>
      <c r="L175" s="773"/>
      <c r="M175" s="773"/>
      <c r="N175" s="773"/>
    </row>
    <row r="176" spans="1:14" x14ac:dyDescent="0.3">
      <c r="A176" s="773"/>
      <c r="B176" s="773"/>
      <c r="C176" s="773"/>
      <c r="D176" s="773"/>
      <c r="E176" s="773"/>
      <c r="F176" s="773"/>
      <c r="G176" s="773"/>
      <c r="H176" s="773"/>
      <c r="I176" s="773"/>
      <c r="J176" s="773"/>
      <c r="K176" s="773"/>
      <c r="L176" s="773"/>
      <c r="M176" s="773"/>
      <c r="N176" s="773"/>
    </row>
    <row r="177" spans="1:14" x14ac:dyDescent="0.3">
      <c r="A177" s="773"/>
      <c r="B177" s="773"/>
      <c r="C177" s="773"/>
      <c r="D177" s="773"/>
      <c r="E177" s="773"/>
      <c r="F177" s="773"/>
      <c r="G177" s="773"/>
      <c r="H177" s="773"/>
      <c r="I177" s="773"/>
      <c r="J177" s="773"/>
      <c r="K177" s="773"/>
      <c r="L177" s="773"/>
      <c r="M177" s="773"/>
      <c r="N177" s="773"/>
    </row>
    <row r="178" spans="1:14" x14ac:dyDescent="0.3">
      <c r="A178" s="773"/>
      <c r="B178" s="773"/>
      <c r="C178" s="773"/>
      <c r="D178" s="773"/>
      <c r="E178" s="773"/>
      <c r="F178" s="773"/>
      <c r="G178" s="773"/>
      <c r="H178" s="773"/>
      <c r="I178" s="773"/>
      <c r="J178" s="773"/>
      <c r="K178" s="773"/>
      <c r="L178" s="773"/>
      <c r="M178" s="773"/>
      <c r="N178" s="773"/>
    </row>
    <row r="179" spans="1:14" x14ac:dyDescent="0.3">
      <c r="A179" s="773"/>
      <c r="B179" s="773"/>
      <c r="C179" s="773"/>
      <c r="D179" s="773"/>
      <c r="E179" s="773"/>
      <c r="F179" s="773"/>
      <c r="G179" s="773"/>
      <c r="H179" s="773"/>
      <c r="I179" s="773"/>
      <c r="J179" s="773"/>
      <c r="K179" s="773"/>
      <c r="L179" s="773"/>
      <c r="M179" s="773"/>
      <c r="N179" s="773"/>
    </row>
    <row r="180" spans="1:14" x14ac:dyDescent="0.3">
      <c r="A180" s="773"/>
      <c r="B180" s="773"/>
      <c r="C180" s="773"/>
      <c r="D180" s="773"/>
      <c r="E180" s="773"/>
      <c r="F180" s="773"/>
      <c r="G180" s="773"/>
      <c r="H180" s="773"/>
      <c r="I180" s="773"/>
      <c r="J180" s="773"/>
      <c r="K180" s="773"/>
      <c r="L180" s="773"/>
      <c r="M180" s="773"/>
      <c r="N180" s="773"/>
    </row>
    <row r="181" spans="1:14" x14ac:dyDescent="0.3">
      <c r="A181" s="773"/>
      <c r="B181" s="773"/>
      <c r="C181" s="773"/>
      <c r="D181" s="773"/>
      <c r="E181" s="773"/>
      <c r="F181" s="773"/>
      <c r="G181" s="773"/>
      <c r="H181" s="773"/>
      <c r="I181" s="773"/>
      <c r="J181" s="773"/>
      <c r="K181" s="773"/>
      <c r="L181" s="773"/>
      <c r="M181" s="773"/>
      <c r="N181" s="773"/>
    </row>
    <row r="182" spans="1:14" x14ac:dyDescent="0.3">
      <c r="A182" s="773"/>
      <c r="B182" s="773"/>
      <c r="C182" s="773"/>
      <c r="D182" s="773"/>
      <c r="E182" s="773"/>
      <c r="F182" s="773"/>
      <c r="G182" s="773"/>
      <c r="H182" s="773"/>
      <c r="I182" s="773"/>
      <c r="J182" s="773"/>
      <c r="K182" s="773"/>
      <c r="L182" s="773"/>
      <c r="M182" s="773"/>
      <c r="N182" s="773"/>
    </row>
    <row r="183" spans="1:14" x14ac:dyDescent="0.3">
      <c r="A183" s="773"/>
      <c r="B183" s="773"/>
      <c r="C183" s="773"/>
      <c r="D183" s="773"/>
      <c r="E183" s="773"/>
      <c r="F183" s="773"/>
      <c r="G183" s="773"/>
      <c r="H183" s="773"/>
      <c r="I183" s="773"/>
      <c r="J183" s="773"/>
      <c r="K183" s="773"/>
      <c r="L183" s="773"/>
      <c r="M183" s="773"/>
      <c r="N183" s="773"/>
    </row>
    <row r="184" spans="1:14" x14ac:dyDescent="0.3">
      <c r="A184" s="773"/>
      <c r="B184" s="773"/>
      <c r="C184" s="773"/>
      <c r="D184" s="773"/>
      <c r="E184" s="773"/>
      <c r="F184" s="773"/>
      <c r="G184" s="773"/>
      <c r="H184" s="773"/>
      <c r="I184" s="773"/>
      <c r="J184" s="773"/>
      <c r="K184" s="773"/>
      <c r="L184" s="773"/>
      <c r="M184" s="773"/>
      <c r="N184" s="773"/>
    </row>
    <row r="185" spans="1:14" x14ac:dyDescent="0.3">
      <c r="A185" s="773"/>
      <c r="B185" s="773"/>
      <c r="C185" s="773"/>
      <c r="D185" s="773"/>
      <c r="E185" s="773"/>
      <c r="F185" s="773"/>
      <c r="G185" s="773"/>
      <c r="H185" s="773"/>
      <c r="I185" s="773"/>
      <c r="J185" s="773"/>
      <c r="K185" s="773"/>
      <c r="L185" s="773"/>
      <c r="M185" s="773"/>
      <c r="N185" s="773"/>
    </row>
    <row r="186" spans="1:14" x14ac:dyDescent="0.3">
      <c r="A186" s="773"/>
      <c r="B186" s="773"/>
      <c r="C186" s="773"/>
      <c r="D186" s="773"/>
      <c r="E186" s="773"/>
      <c r="F186" s="773"/>
      <c r="G186" s="773"/>
      <c r="H186" s="773"/>
      <c r="I186" s="773"/>
      <c r="J186" s="773"/>
      <c r="K186" s="773"/>
      <c r="L186" s="773"/>
      <c r="M186" s="773"/>
      <c r="N186" s="773"/>
    </row>
    <row r="187" spans="1:14" x14ac:dyDescent="0.3">
      <c r="A187" s="773"/>
      <c r="B187" s="773"/>
      <c r="C187" s="773"/>
      <c r="D187" s="773"/>
      <c r="E187" s="773"/>
      <c r="F187" s="773"/>
      <c r="G187" s="773"/>
      <c r="H187" s="773"/>
      <c r="I187" s="773"/>
      <c r="J187" s="773"/>
      <c r="K187" s="773"/>
      <c r="L187" s="773"/>
      <c r="M187" s="773"/>
      <c r="N187" s="773"/>
    </row>
    <row r="188" spans="1:14" x14ac:dyDescent="0.3">
      <c r="A188" s="773"/>
      <c r="B188" s="773"/>
      <c r="C188" s="773"/>
      <c r="D188" s="773"/>
      <c r="E188" s="773"/>
      <c r="F188" s="773"/>
      <c r="G188" s="773"/>
      <c r="H188" s="773"/>
      <c r="I188" s="773"/>
      <c r="J188" s="773"/>
      <c r="K188" s="773"/>
      <c r="L188" s="773"/>
      <c r="M188" s="773"/>
      <c r="N188" s="773"/>
    </row>
    <row r="189" spans="1:14" x14ac:dyDescent="0.3">
      <c r="A189" s="773"/>
      <c r="B189" s="773"/>
      <c r="C189" s="773"/>
      <c r="D189" s="773"/>
      <c r="E189" s="773"/>
      <c r="F189" s="773"/>
      <c r="G189" s="773"/>
      <c r="H189" s="773"/>
      <c r="I189" s="773"/>
      <c r="J189" s="773"/>
      <c r="K189" s="773"/>
      <c r="L189" s="773"/>
      <c r="M189" s="773"/>
      <c r="N189" s="773"/>
    </row>
    <row r="190" spans="1:14" x14ac:dyDescent="0.3">
      <c r="A190" s="773"/>
      <c r="B190" s="773"/>
      <c r="C190" s="773"/>
      <c r="D190" s="773"/>
      <c r="E190" s="773"/>
      <c r="F190" s="773"/>
      <c r="G190" s="773"/>
      <c r="H190" s="773"/>
      <c r="I190" s="773"/>
      <c r="J190" s="773"/>
      <c r="K190" s="773"/>
      <c r="L190" s="773"/>
      <c r="M190" s="773"/>
      <c r="N190" s="773"/>
    </row>
    <row r="191" spans="1:14" x14ac:dyDescent="0.3">
      <c r="A191" s="773"/>
      <c r="B191" s="773"/>
      <c r="C191" s="773"/>
      <c r="D191" s="773"/>
      <c r="E191" s="773"/>
      <c r="F191" s="773"/>
      <c r="G191" s="773"/>
      <c r="H191" s="773"/>
      <c r="I191" s="773"/>
      <c r="J191" s="773"/>
      <c r="K191" s="773"/>
      <c r="L191" s="773"/>
      <c r="M191" s="773"/>
      <c r="N191" s="773"/>
    </row>
    <row r="192" spans="1:14" x14ac:dyDescent="0.3">
      <c r="A192" s="773"/>
      <c r="B192" s="773"/>
      <c r="C192" s="773"/>
      <c r="D192" s="773"/>
      <c r="E192" s="773"/>
      <c r="F192" s="773"/>
      <c r="G192" s="773"/>
      <c r="H192" s="773"/>
      <c r="I192" s="773"/>
      <c r="J192" s="773"/>
      <c r="K192" s="773"/>
      <c r="L192" s="773"/>
      <c r="M192" s="773"/>
      <c r="N192" s="773"/>
    </row>
    <row r="193" spans="1:14" x14ac:dyDescent="0.3">
      <c r="A193" s="773"/>
      <c r="B193" s="773"/>
      <c r="C193" s="773"/>
      <c r="D193" s="773"/>
      <c r="E193" s="773"/>
      <c r="F193" s="773"/>
      <c r="G193" s="773"/>
      <c r="H193" s="773"/>
      <c r="I193" s="773"/>
      <c r="J193" s="773"/>
      <c r="K193" s="773"/>
      <c r="L193" s="773"/>
      <c r="M193" s="773"/>
      <c r="N193" s="773"/>
    </row>
    <row r="194" spans="1:14" x14ac:dyDescent="0.3">
      <c r="A194" s="773"/>
      <c r="B194" s="773"/>
      <c r="C194" s="773"/>
      <c r="D194" s="773"/>
      <c r="E194" s="773"/>
      <c r="F194" s="773"/>
      <c r="G194" s="773"/>
      <c r="H194" s="773"/>
      <c r="I194" s="773"/>
      <c r="J194" s="773"/>
      <c r="K194" s="773"/>
      <c r="L194" s="773"/>
      <c r="M194" s="773"/>
      <c r="N194" s="773"/>
    </row>
    <row r="195" spans="1:14" x14ac:dyDescent="0.3">
      <c r="A195" s="773"/>
      <c r="B195" s="773"/>
      <c r="C195" s="773"/>
      <c r="D195" s="773"/>
      <c r="E195" s="773"/>
      <c r="F195" s="773"/>
      <c r="G195" s="773"/>
      <c r="H195" s="773"/>
      <c r="I195" s="773"/>
      <c r="J195" s="773"/>
      <c r="K195" s="773"/>
      <c r="L195" s="773"/>
      <c r="M195" s="773"/>
      <c r="N195" s="773"/>
    </row>
    <row r="196" spans="1:14" x14ac:dyDescent="0.3">
      <c r="A196" s="773"/>
      <c r="B196" s="773"/>
      <c r="C196" s="773"/>
      <c r="D196" s="773"/>
      <c r="E196" s="773"/>
      <c r="F196" s="773"/>
      <c r="G196" s="773"/>
      <c r="H196" s="773"/>
      <c r="I196" s="773"/>
      <c r="J196" s="773"/>
      <c r="K196" s="773"/>
      <c r="L196" s="773"/>
      <c r="M196" s="773"/>
      <c r="N196" s="773"/>
    </row>
    <row r="197" spans="1:14" x14ac:dyDescent="0.3">
      <c r="A197" s="773"/>
      <c r="B197" s="773"/>
      <c r="C197" s="773"/>
      <c r="D197" s="773"/>
      <c r="E197" s="773"/>
      <c r="F197" s="773"/>
      <c r="G197" s="773"/>
      <c r="H197" s="773"/>
      <c r="I197" s="773"/>
      <c r="J197" s="773"/>
      <c r="K197" s="773"/>
      <c r="L197" s="773"/>
      <c r="M197" s="773"/>
      <c r="N197" s="773"/>
    </row>
    <row r="198" spans="1:14" x14ac:dyDescent="0.3">
      <c r="A198" s="773"/>
      <c r="B198" s="773"/>
      <c r="C198" s="773"/>
      <c r="D198" s="773"/>
      <c r="E198" s="773"/>
      <c r="F198" s="773"/>
      <c r="G198" s="773"/>
      <c r="H198" s="773"/>
      <c r="I198" s="773"/>
      <c r="J198" s="773"/>
      <c r="K198" s="773"/>
      <c r="L198" s="773"/>
      <c r="M198" s="773"/>
      <c r="N198" s="773"/>
    </row>
    <row r="199" spans="1:14" x14ac:dyDescent="0.3">
      <c r="A199" s="773"/>
      <c r="B199" s="773"/>
      <c r="C199" s="773"/>
      <c r="D199" s="773"/>
      <c r="E199" s="773"/>
      <c r="F199" s="773"/>
      <c r="G199" s="773"/>
      <c r="H199" s="773"/>
      <c r="I199" s="773"/>
      <c r="J199" s="773"/>
      <c r="K199" s="773"/>
      <c r="L199" s="773"/>
      <c r="M199" s="773"/>
      <c r="N199" s="773"/>
    </row>
    <row r="200" spans="1:14" x14ac:dyDescent="0.3">
      <c r="A200" s="773"/>
      <c r="B200" s="773"/>
      <c r="C200" s="773"/>
      <c r="D200" s="773"/>
      <c r="E200" s="773"/>
      <c r="F200" s="773"/>
      <c r="G200" s="773"/>
      <c r="H200" s="773"/>
      <c r="I200" s="773"/>
      <c r="J200" s="773"/>
      <c r="K200" s="773"/>
      <c r="L200" s="773"/>
      <c r="M200" s="773"/>
      <c r="N200" s="773"/>
    </row>
    <row r="201" spans="1:14" x14ac:dyDescent="0.3">
      <c r="A201" s="773"/>
      <c r="B201" s="773"/>
      <c r="C201" s="773"/>
      <c r="D201" s="773"/>
      <c r="E201" s="773"/>
      <c r="F201" s="773"/>
      <c r="G201" s="773"/>
      <c r="H201" s="773"/>
      <c r="I201" s="773"/>
      <c r="J201" s="773"/>
      <c r="K201" s="773"/>
      <c r="L201" s="773"/>
      <c r="M201" s="773"/>
      <c r="N201" s="773"/>
    </row>
    <row r="202" spans="1:14" x14ac:dyDescent="0.3">
      <c r="A202" s="773"/>
      <c r="B202" s="773"/>
      <c r="C202" s="773"/>
      <c r="D202" s="773"/>
      <c r="E202" s="773"/>
      <c r="F202" s="773"/>
      <c r="G202" s="773"/>
      <c r="H202" s="773"/>
      <c r="I202" s="773"/>
      <c r="J202" s="773"/>
      <c r="K202" s="773"/>
      <c r="L202" s="773"/>
      <c r="M202" s="773"/>
      <c r="N202" s="773"/>
    </row>
    <row r="203" spans="1:14" x14ac:dyDescent="0.3">
      <c r="A203" s="773"/>
      <c r="B203" s="773"/>
      <c r="C203" s="773"/>
      <c r="D203" s="773"/>
      <c r="E203" s="773"/>
      <c r="F203" s="773"/>
      <c r="G203" s="773"/>
      <c r="H203" s="773"/>
      <c r="I203" s="773"/>
      <c r="J203" s="773"/>
      <c r="K203" s="773"/>
      <c r="L203" s="773"/>
      <c r="M203" s="773"/>
      <c r="N203" s="773"/>
    </row>
    <row r="204" spans="1:14" x14ac:dyDescent="0.3">
      <c r="A204" s="773"/>
      <c r="B204" s="773"/>
      <c r="C204" s="773"/>
      <c r="D204" s="773"/>
      <c r="E204" s="773"/>
      <c r="F204" s="773"/>
      <c r="G204" s="773"/>
      <c r="H204" s="773"/>
      <c r="I204" s="773"/>
      <c r="J204" s="773"/>
      <c r="K204" s="773"/>
      <c r="L204" s="773"/>
      <c r="M204" s="773"/>
      <c r="N204" s="773"/>
    </row>
    <row r="205" spans="1:14" x14ac:dyDescent="0.3">
      <c r="A205" s="773"/>
      <c r="B205" s="773"/>
      <c r="C205" s="773"/>
      <c r="D205" s="773"/>
      <c r="E205" s="773"/>
      <c r="F205" s="773"/>
      <c r="G205" s="773"/>
      <c r="H205" s="773"/>
      <c r="I205" s="773"/>
      <c r="J205" s="773"/>
      <c r="K205" s="773"/>
      <c r="L205" s="773"/>
      <c r="M205" s="773"/>
      <c r="N205" s="773"/>
    </row>
    <row r="206" spans="1:14" x14ac:dyDescent="0.3">
      <c r="A206" s="773"/>
      <c r="B206" s="773"/>
      <c r="C206" s="773"/>
      <c r="D206" s="773"/>
      <c r="E206" s="773"/>
      <c r="F206" s="773"/>
      <c r="G206" s="773"/>
      <c r="H206" s="773"/>
      <c r="I206" s="773"/>
      <c r="J206" s="773"/>
      <c r="K206" s="773"/>
      <c r="L206" s="773"/>
      <c r="M206" s="773"/>
      <c r="N206" s="773"/>
    </row>
    <row r="207" spans="1:14" x14ac:dyDescent="0.3">
      <c r="A207" s="773"/>
      <c r="B207" s="773"/>
      <c r="C207" s="773"/>
      <c r="D207" s="773"/>
      <c r="E207" s="773"/>
      <c r="F207" s="773"/>
      <c r="G207" s="773"/>
      <c r="H207" s="773"/>
      <c r="I207" s="773"/>
      <c r="J207" s="773"/>
      <c r="K207" s="773"/>
      <c r="L207" s="773"/>
      <c r="M207" s="773"/>
      <c r="N207" s="773"/>
    </row>
    <row r="208" spans="1:14" x14ac:dyDescent="0.3">
      <c r="A208" s="773"/>
      <c r="B208" s="773"/>
      <c r="C208" s="773"/>
      <c r="D208" s="773"/>
      <c r="E208" s="773"/>
      <c r="F208" s="773"/>
      <c r="G208" s="773"/>
      <c r="H208" s="773"/>
      <c r="I208" s="773"/>
      <c r="J208" s="773"/>
      <c r="K208" s="773"/>
      <c r="L208" s="773"/>
      <c r="M208" s="773"/>
      <c r="N208" s="773"/>
    </row>
    <row r="209" spans="1:14" x14ac:dyDescent="0.3">
      <c r="A209" s="773"/>
      <c r="B209" s="773"/>
      <c r="C209" s="773"/>
      <c r="D209" s="773"/>
      <c r="E209" s="773"/>
      <c r="F209" s="773"/>
      <c r="G209" s="773"/>
      <c r="H209" s="773"/>
      <c r="I209" s="773"/>
      <c r="J209" s="774"/>
      <c r="K209" s="774"/>
      <c r="L209" s="774"/>
      <c r="M209" s="774"/>
      <c r="N209" s="774"/>
    </row>
    <row r="210" spans="1:14" x14ac:dyDescent="0.3">
      <c r="A210" s="773"/>
      <c r="B210" s="773"/>
      <c r="C210" s="773"/>
      <c r="D210" s="773"/>
      <c r="E210" s="773"/>
      <c r="F210" s="773"/>
      <c r="G210" s="773"/>
      <c r="H210" s="773"/>
      <c r="I210" s="773"/>
    </row>
    <row r="211" spans="1:14" x14ac:dyDescent="0.3">
      <c r="A211" s="773"/>
      <c r="B211" s="773"/>
      <c r="C211" s="773"/>
      <c r="D211" s="773"/>
      <c r="E211" s="773"/>
      <c r="F211" s="773"/>
      <c r="G211" s="773"/>
      <c r="H211" s="773"/>
      <c r="I211" s="773"/>
    </row>
    <row r="212" spans="1:14" x14ac:dyDescent="0.3">
      <c r="A212" s="773"/>
      <c r="B212" s="773"/>
      <c r="C212" s="773"/>
      <c r="D212" s="773"/>
      <c r="E212" s="773"/>
      <c r="F212" s="773"/>
      <c r="G212" s="773"/>
      <c r="H212" s="773"/>
      <c r="I212" s="773"/>
    </row>
    <row r="213" spans="1:14" x14ac:dyDescent="0.3">
      <c r="A213" s="773"/>
      <c r="B213" s="773"/>
      <c r="C213" s="773"/>
      <c r="D213" s="773"/>
      <c r="E213" s="773"/>
      <c r="F213" s="773"/>
      <c r="G213" s="773"/>
      <c r="H213" s="773"/>
      <c r="I213" s="773"/>
    </row>
    <row r="214" spans="1:14" x14ac:dyDescent="0.3">
      <c r="A214" s="773"/>
      <c r="B214" s="773"/>
      <c r="C214" s="773"/>
      <c r="D214" s="773"/>
      <c r="E214" s="773"/>
      <c r="F214" s="773"/>
      <c r="G214" s="773"/>
      <c r="H214" s="773"/>
      <c r="I214" s="773"/>
    </row>
    <row r="215" spans="1:14" x14ac:dyDescent="0.3">
      <c r="A215" s="773"/>
      <c r="B215" s="773"/>
      <c r="C215" s="773"/>
      <c r="D215" s="773"/>
      <c r="E215" s="773"/>
      <c r="F215" s="773"/>
      <c r="G215" s="773"/>
      <c r="H215" s="773"/>
      <c r="I215" s="773"/>
    </row>
    <row r="216" spans="1:14" x14ac:dyDescent="0.3">
      <c r="A216" s="773"/>
      <c r="B216" s="773"/>
      <c r="C216" s="773"/>
      <c r="D216" s="773"/>
      <c r="E216" s="773"/>
      <c r="F216" s="773"/>
      <c r="G216" s="773"/>
      <c r="H216" s="773"/>
      <c r="I216" s="773"/>
    </row>
    <row r="217" spans="1:14" x14ac:dyDescent="0.3">
      <c r="A217" s="773"/>
      <c r="B217" s="773"/>
      <c r="C217" s="773"/>
      <c r="D217" s="773"/>
      <c r="E217" s="773"/>
      <c r="F217" s="773"/>
      <c r="G217" s="773"/>
      <c r="H217" s="773"/>
      <c r="I217" s="773"/>
    </row>
    <row r="218" spans="1:14" x14ac:dyDescent="0.3">
      <c r="A218" s="773"/>
      <c r="B218" s="773"/>
      <c r="C218" s="773"/>
      <c r="D218" s="773"/>
      <c r="E218" s="773"/>
      <c r="F218" s="773"/>
      <c r="G218" s="773"/>
      <c r="H218" s="773"/>
      <c r="I218" s="773"/>
    </row>
    <row r="219" spans="1:14" x14ac:dyDescent="0.3">
      <c r="A219" s="773"/>
      <c r="B219" s="773"/>
      <c r="C219" s="773"/>
      <c r="D219" s="773"/>
      <c r="E219" s="773"/>
      <c r="F219" s="773"/>
      <c r="G219" s="773"/>
      <c r="H219" s="773"/>
      <c r="I219" s="773"/>
    </row>
    <row r="220" spans="1:14" x14ac:dyDescent="0.3">
      <c r="A220" s="773"/>
      <c r="B220" s="773"/>
      <c r="C220" s="773"/>
      <c r="D220" s="773"/>
      <c r="E220" s="773"/>
      <c r="F220" s="773"/>
      <c r="G220" s="773"/>
      <c r="H220" s="773"/>
      <c r="I220" s="773"/>
    </row>
    <row r="221" spans="1:14" x14ac:dyDescent="0.3">
      <c r="A221" s="773"/>
      <c r="B221" s="773"/>
      <c r="C221" s="773"/>
      <c r="D221" s="773"/>
      <c r="E221" s="773"/>
      <c r="F221" s="773"/>
      <c r="G221" s="773"/>
      <c r="H221" s="773"/>
      <c r="I221" s="773"/>
    </row>
    <row r="222" spans="1:14" x14ac:dyDescent="0.3">
      <c r="A222" s="773"/>
      <c r="B222" s="773"/>
      <c r="C222" s="773"/>
      <c r="D222" s="773"/>
      <c r="E222" s="773"/>
      <c r="F222" s="773"/>
      <c r="G222" s="773"/>
      <c r="H222" s="773"/>
      <c r="I222" s="773"/>
    </row>
    <row r="223" spans="1:14" x14ac:dyDescent="0.3">
      <c r="A223" s="773"/>
      <c r="B223" s="773"/>
      <c r="C223" s="773"/>
      <c r="D223" s="773"/>
      <c r="E223" s="773"/>
      <c r="F223" s="773"/>
      <c r="G223" s="773"/>
      <c r="H223" s="773"/>
      <c r="I223" s="773"/>
    </row>
    <row r="224" spans="1:14" x14ac:dyDescent="0.3">
      <c r="A224" s="773"/>
      <c r="B224" s="773"/>
      <c r="C224" s="773"/>
      <c r="D224" s="773"/>
      <c r="E224" s="773"/>
      <c r="F224" s="773"/>
      <c r="G224" s="773"/>
      <c r="H224" s="773"/>
      <c r="I224" s="773"/>
    </row>
    <row r="225" spans="1:9" x14ac:dyDescent="0.3">
      <c r="A225" s="773"/>
      <c r="B225" s="773"/>
      <c r="C225" s="773"/>
      <c r="D225" s="773"/>
      <c r="E225" s="773"/>
      <c r="F225" s="773"/>
      <c r="G225" s="773"/>
      <c r="H225" s="773"/>
      <c r="I225" s="773"/>
    </row>
    <row r="226" spans="1:9" x14ac:dyDescent="0.3">
      <c r="A226" s="773"/>
      <c r="B226" s="773"/>
      <c r="C226" s="773"/>
      <c r="D226" s="773"/>
      <c r="E226" s="773"/>
      <c r="F226" s="773"/>
      <c r="G226" s="773"/>
      <c r="H226" s="773"/>
      <c r="I226" s="773"/>
    </row>
    <row r="227" spans="1:9" x14ac:dyDescent="0.3">
      <c r="A227" s="773"/>
      <c r="B227" s="773"/>
      <c r="C227" s="773"/>
      <c r="D227" s="773"/>
      <c r="E227" s="773"/>
      <c r="F227" s="773"/>
      <c r="G227" s="773"/>
      <c r="H227" s="773"/>
      <c r="I227" s="773"/>
    </row>
    <row r="228" spans="1:9" x14ac:dyDescent="0.3">
      <c r="A228" s="773"/>
      <c r="B228" s="773"/>
      <c r="C228" s="773"/>
      <c r="D228" s="773"/>
      <c r="E228" s="773"/>
      <c r="F228" s="773"/>
      <c r="G228" s="773"/>
      <c r="H228" s="773"/>
      <c r="I228" s="773"/>
    </row>
    <row r="229" spans="1:9" x14ac:dyDescent="0.3">
      <c r="A229" s="773"/>
      <c r="B229" s="773"/>
      <c r="C229" s="773"/>
      <c r="D229" s="773"/>
      <c r="E229" s="773"/>
      <c r="F229" s="773"/>
      <c r="G229" s="773"/>
      <c r="H229" s="773"/>
      <c r="I229" s="773"/>
    </row>
    <row r="230" spans="1:9" x14ac:dyDescent="0.3">
      <c r="A230" s="773"/>
      <c r="B230" s="773"/>
      <c r="C230" s="773"/>
      <c r="D230" s="773"/>
      <c r="E230" s="773"/>
      <c r="F230" s="773"/>
      <c r="G230" s="773"/>
      <c r="H230" s="773"/>
      <c r="I230" s="773"/>
    </row>
    <row r="231" spans="1:9" x14ac:dyDescent="0.3">
      <c r="A231" s="773"/>
      <c r="B231" s="773"/>
      <c r="C231" s="773"/>
      <c r="D231" s="773"/>
      <c r="E231" s="773"/>
      <c r="F231" s="773"/>
      <c r="G231" s="773"/>
      <c r="H231" s="773"/>
      <c r="I231" s="773"/>
    </row>
    <row r="232" spans="1:9" x14ac:dyDescent="0.3">
      <c r="A232" s="773"/>
      <c r="B232" s="773"/>
      <c r="C232" s="773"/>
      <c r="D232" s="773"/>
      <c r="E232" s="773"/>
      <c r="F232" s="773"/>
      <c r="G232" s="773"/>
      <c r="H232" s="773"/>
      <c r="I232" s="773"/>
    </row>
    <row r="233" spans="1:9" x14ac:dyDescent="0.3">
      <c r="A233" s="773"/>
      <c r="B233" s="773"/>
      <c r="C233" s="773"/>
      <c r="D233" s="773"/>
      <c r="E233" s="773"/>
      <c r="F233" s="773"/>
      <c r="G233" s="773"/>
      <c r="H233" s="773"/>
      <c r="I233" s="773"/>
    </row>
    <row r="234" spans="1:9" x14ac:dyDescent="0.3">
      <c r="A234" s="773"/>
      <c r="B234" s="773"/>
      <c r="C234" s="773"/>
      <c r="D234" s="773"/>
      <c r="E234" s="773"/>
      <c r="F234" s="773"/>
      <c r="G234" s="773"/>
      <c r="H234" s="773"/>
      <c r="I234" s="773"/>
    </row>
    <row r="235" spans="1:9" x14ac:dyDescent="0.3">
      <c r="A235" s="773"/>
      <c r="B235" s="773"/>
      <c r="C235" s="773"/>
      <c r="D235" s="773"/>
      <c r="E235" s="773"/>
      <c r="F235" s="773"/>
      <c r="G235" s="773"/>
      <c r="H235" s="773"/>
      <c r="I235" s="773"/>
    </row>
    <row r="236" spans="1:9" x14ac:dyDescent="0.3">
      <c r="A236" s="773"/>
      <c r="B236" s="773"/>
      <c r="C236" s="773"/>
      <c r="D236" s="773"/>
      <c r="E236" s="773"/>
      <c r="F236" s="773"/>
      <c r="G236" s="773"/>
      <c r="H236" s="773"/>
      <c r="I236" s="773"/>
    </row>
    <row r="237" spans="1:9" x14ac:dyDescent="0.3">
      <c r="A237" s="773"/>
      <c r="B237" s="773"/>
      <c r="C237" s="773"/>
      <c r="D237" s="773"/>
      <c r="E237" s="773"/>
      <c r="F237" s="773"/>
      <c r="G237" s="773"/>
      <c r="H237" s="773"/>
      <c r="I237" s="773"/>
    </row>
    <row r="238" spans="1:9" x14ac:dyDescent="0.3">
      <c r="A238" s="773"/>
      <c r="B238" s="773"/>
      <c r="C238" s="773"/>
      <c r="D238" s="773"/>
      <c r="E238" s="773"/>
      <c r="F238" s="773"/>
      <c r="G238" s="773"/>
      <c r="H238" s="773"/>
      <c r="I238" s="773"/>
    </row>
    <row r="239" spans="1:9" x14ac:dyDescent="0.3">
      <c r="A239" s="773"/>
      <c r="B239" s="773"/>
      <c r="C239" s="773"/>
      <c r="D239" s="773"/>
      <c r="E239" s="773"/>
      <c r="F239" s="773"/>
      <c r="G239" s="773"/>
      <c r="H239" s="773"/>
      <c r="I239" s="773"/>
    </row>
    <row r="240" spans="1:9" x14ac:dyDescent="0.3">
      <c r="A240" s="773"/>
      <c r="B240" s="773"/>
      <c r="C240" s="773"/>
      <c r="D240" s="773"/>
      <c r="E240" s="773"/>
      <c r="F240" s="773"/>
      <c r="G240" s="773"/>
      <c r="H240" s="773"/>
      <c r="I240" s="773"/>
    </row>
    <row r="241" spans="1:9" x14ac:dyDescent="0.3">
      <c r="A241" s="773"/>
      <c r="B241" s="773"/>
      <c r="C241" s="773"/>
      <c r="D241" s="773"/>
      <c r="E241" s="773"/>
      <c r="F241" s="773"/>
      <c r="G241" s="773"/>
      <c r="H241" s="773"/>
      <c r="I241" s="773"/>
    </row>
    <row r="242" spans="1:9" x14ac:dyDescent="0.3">
      <c r="A242" s="773"/>
      <c r="B242" s="773"/>
      <c r="C242" s="773"/>
      <c r="D242" s="773"/>
      <c r="E242" s="773"/>
      <c r="F242" s="773"/>
      <c r="G242" s="773"/>
      <c r="H242" s="773"/>
      <c r="I242" s="773"/>
    </row>
    <row r="243" spans="1:9" x14ac:dyDescent="0.3">
      <c r="A243" s="773"/>
      <c r="B243" s="773"/>
      <c r="C243" s="773"/>
      <c r="D243" s="773"/>
      <c r="E243" s="773"/>
      <c r="F243" s="773"/>
      <c r="G243" s="773"/>
      <c r="H243" s="773"/>
      <c r="I243" s="773"/>
    </row>
    <row r="244" spans="1:9" x14ac:dyDescent="0.3">
      <c r="A244" s="773"/>
      <c r="B244" s="773"/>
      <c r="C244" s="773"/>
      <c r="D244" s="773"/>
      <c r="E244" s="773"/>
      <c r="F244" s="773"/>
      <c r="G244" s="773"/>
      <c r="H244" s="773"/>
      <c r="I244" s="773"/>
    </row>
    <row r="245" spans="1:9" x14ac:dyDescent="0.3">
      <c r="A245" s="773"/>
      <c r="B245" s="773"/>
      <c r="C245" s="773"/>
      <c r="D245" s="773"/>
      <c r="E245" s="773"/>
      <c r="F245" s="773"/>
      <c r="G245" s="773"/>
      <c r="H245" s="773"/>
      <c r="I245" s="773"/>
    </row>
    <row r="246" spans="1:9" x14ac:dyDescent="0.3">
      <c r="A246" s="773"/>
      <c r="B246" s="773"/>
      <c r="C246" s="773"/>
      <c r="D246" s="773"/>
      <c r="E246" s="773"/>
      <c r="F246" s="773"/>
      <c r="G246" s="773"/>
      <c r="H246" s="773"/>
      <c r="I246" s="773"/>
    </row>
    <row r="247" spans="1:9" x14ac:dyDescent="0.3">
      <c r="A247" s="773"/>
      <c r="B247" s="773"/>
      <c r="C247" s="773"/>
      <c r="D247" s="773"/>
      <c r="E247" s="773"/>
      <c r="F247" s="773"/>
      <c r="G247" s="773"/>
      <c r="H247" s="773"/>
      <c r="I247" s="773"/>
    </row>
    <row r="248" spans="1:9" x14ac:dyDescent="0.3">
      <c r="A248" s="773"/>
      <c r="B248" s="773"/>
      <c r="C248" s="773"/>
      <c r="D248" s="773"/>
      <c r="E248" s="773"/>
      <c r="F248" s="773"/>
      <c r="G248" s="773"/>
      <c r="H248" s="773"/>
      <c r="I248" s="773"/>
    </row>
    <row r="249" spans="1:9" x14ac:dyDescent="0.3">
      <c r="A249" s="773"/>
      <c r="B249" s="773"/>
      <c r="C249" s="773"/>
      <c r="D249" s="773"/>
      <c r="E249" s="773"/>
      <c r="F249" s="773"/>
      <c r="G249" s="773"/>
      <c r="H249" s="773"/>
      <c r="I249" s="773"/>
    </row>
    <row r="250" spans="1:9" x14ac:dyDescent="0.3">
      <c r="A250" s="773"/>
      <c r="B250" s="773"/>
      <c r="C250" s="773"/>
      <c r="D250" s="773"/>
      <c r="E250" s="773"/>
      <c r="F250" s="773"/>
      <c r="G250" s="773"/>
      <c r="H250" s="773"/>
      <c r="I250" s="773"/>
    </row>
    <row r="251" spans="1:9" x14ac:dyDescent="0.3">
      <c r="A251" s="773"/>
      <c r="B251" s="773"/>
      <c r="C251" s="773"/>
      <c r="D251" s="773"/>
      <c r="E251" s="773"/>
      <c r="F251" s="773"/>
      <c r="G251" s="773"/>
      <c r="H251" s="773"/>
      <c r="I251" s="773"/>
    </row>
    <row r="252" spans="1:9" x14ac:dyDescent="0.3">
      <c r="A252" s="773"/>
      <c r="B252" s="773"/>
      <c r="C252" s="773"/>
      <c r="D252" s="773"/>
      <c r="E252" s="773"/>
      <c r="F252" s="773"/>
      <c r="G252" s="773"/>
      <c r="H252" s="773"/>
      <c r="I252" s="773"/>
    </row>
    <row r="253" spans="1:9" x14ac:dyDescent="0.3">
      <c r="A253" s="773"/>
      <c r="B253" s="773"/>
      <c r="C253" s="773"/>
      <c r="D253" s="773"/>
      <c r="E253" s="773"/>
      <c r="F253" s="773"/>
      <c r="G253" s="773"/>
      <c r="H253" s="773"/>
      <c r="I253" s="773"/>
    </row>
    <row r="254" spans="1:9" x14ac:dyDescent="0.3">
      <c r="A254" s="773"/>
      <c r="B254" s="773"/>
      <c r="C254" s="773"/>
      <c r="D254" s="773"/>
      <c r="E254" s="773"/>
      <c r="F254" s="773"/>
      <c r="G254" s="773"/>
      <c r="H254" s="773"/>
      <c r="I254" s="773"/>
    </row>
    <row r="255" spans="1:9" x14ac:dyDescent="0.3">
      <c r="A255" s="773"/>
      <c r="B255" s="773"/>
      <c r="C255" s="773"/>
      <c r="D255" s="773"/>
      <c r="E255" s="773"/>
      <c r="F255" s="773"/>
      <c r="G255" s="773"/>
      <c r="H255" s="773"/>
      <c r="I255" s="773"/>
    </row>
    <row r="256" spans="1:9" x14ac:dyDescent="0.3">
      <c r="A256" s="773"/>
      <c r="B256" s="773"/>
      <c r="C256" s="773"/>
      <c r="D256" s="773"/>
      <c r="E256" s="773"/>
      <c r="F256" s="773"/>
      <c r="G256" s="773"/>
      <c r="H256" s="773"/>
      <c r="I256" s="773"/>
    </row>
    <row r="257" spans="1:9" x14ac:dyDescent="0.3">
      <c r="A257" s="773"/>
      <c r="B257" s="773"/>
      <c r="C257" s="773"/>
      <c r="D257" s="773"/>
      <c r="E257" s="773"/>
      <c r="F257" s="773"/>
      <c r="G257" s="773"/>
      <c r="H257" s="773"/>
      <c r="I257" s="773"/>
    </row>
    <row r="258" spans="1:9" x14ac:dyDescent="0.3">
      <c r="A258" s="773"/>
      <c r="B258" s="773"/>
      <c r="C258" s="773"/>
      <c r="D258" s="773"/>
      <c r="E258" s="773"/>
      <c r="F258" s="773"/>
      <c r="G258" s="773"/>
      <c r="H258" s="773"/>
      <c r="I258" s="773"/>
    </row>
    <row r="259" spans="1:9" x14ac:dyDescent="0.3">
      <c r="A259" s="773"/>
      <c r="B259" s="773"/>
      <c r="C259" s="773"/>
      <c r="D259" s="773"/>
      <c r="E259" s="773"/>
      <c r="F259" s="773"/>
      <c r="G259" s="773"/>
      <c r="H259" s="773"/>
      <c r="I259" s="773"/>
    </row>
    <row r="260" spans="1:9" x14ac:dyDescent="0.3">
      <c r="A260" s="773"/>
      <c r="B260" s="773"/>
      <c r="C260" s="773"/>
      <c r="D260" s="773"/>
      <c r="E260" s="773"/>
      <c r="F260" s="773"/>
      <c r="G260" s="773"/>
      <c r="H260" s="773"/>
      <c r="I260" s="773"/>
    </row>
    <row r="261" spans="1:9" x14ac:dyDescent="0.3">
      <c r="A261" s="773"/>
      <c r="B261" s="773"/>
      <c r="C261" s="773"/>
      <c r="D261" s="773"/>
      <c r="E261" s="773"/>
      <c r="F261" s="773"/>
      <c r="G261" s="773"/>
      <c r="H261" s="773"/>
      <c r="I261" s="773"/>
    </row>
    <row r="262" spans="1:9" x14ac:dyDescent="0.3">
      <c r="A262" s="773"/>
      <c r="B262" s="773"/>
      <c r="C262" s="773"/>
      <c r="D262" s="773"/>
      <c r="E262" s="773"/>
      <c r="F262" s="773"/>
      <c r="G262" s="773"/>
      <c r="H262" s="773"/>
      <c r="I262" s="773"/>
    </row>
    <row r="263" spans="1:9" x14ac:dyDescent="0.3">
      <c r="A263" s="773"/>
      <c r="B263" s="773"/>
      <c r="C263" s="773"/>
      <c r="D263" s="773"/>
      <c r="E263" s="773"/>
      <c r="F263" s="773"/>
      <c r="G263" s="773"/>
      <c r="H263" s="773"/>
      <c r="I263" s="773"/>
    </row>
    <row r="264" spans="1:9" x14ac:dyDescent="0.3">
      <c r="A264" s="773"/>
      <c r="B264" s="773"/>
      <c r="C264" s="773"/>
      <c r="D264" s="773"/>
      <c r="E264" s="773"/>
      <c r="F264" s="773"/>
      <c r="G264" s="773"/>
      <c r="H264" s="773"/>
      <c r="I264" s="773"/>
    </row>
    <row r="265" spans="1:9" x14ac:dyDescent="0.3">
      <c r="A265" s="773"/>
      <c r="B265" s="773"/>
      <c r="C265" s="773"/>
      <c r="D265" s="773"/>
      <c r="E265" s="773"/>
      <c r="F265" s="773"/>
      <c r="G265" s="773"/>
      <c r="H265" s="773"/>
      <c r="I265" s="773"/>
    </row>
    <row r="266" spans="1:9" x14ac:dyDescent="0.3">
      <c r="A266" s="773"/>
      <c r="B266" s="773"/>
      <c r="C266" s="773"/>
      <c r="D266" s="773"/>
      <c r="E266" s="773"/>
      <c r="F266" s="773"/>
      <c r="G266" s="773"/>
      <c r="H266" s="773"/>
      <c r="I266" s="773"/>
    </row>
    <row r="267" spans="1:9" x14ac:dyDescent="0.3">
      <c r="A267" s="773"/>
      <c r="B267" s="773"/>
      <c r="C267" s="773"/>
      <c r="D267" s="773"/>
      <c r="E267" s="773"/>
      <c r="F267" s="773"/>
      <c r="G267" s="773"/>
      <c r="H267" s="773"/>
      <c r="I267" s="773"/>
    </row>
    <row r="268" spans="1:9" x14ac:dyDescent="0.3">
      <c r="A268" s="773"/>
      <c r="B268" s="773"/>
      <c r="C268" s="773"/>
      <c r="D268" s="773"/>
      <c r="E268" s="773"/>
      <c r="F268" s="773"/>
      <c r="G268" s="773"/>
      <c r="H268" s="773"/>
      <c r="I268" s="773"/>
    </row>
    <row r="269" spans="1:9" x14ac:dyDescent="0.3">
      <c r="A269" s="773"/>
      <c r="B269" s="773"/>
      <c r="C269" s="773"/>
      <c r="D269" s="773"/>
      <c r="E269" s="773"/>
      <c r="F269" s="773"/>
      <c r="G269" s="773"/>
      <c r="H269" s="773"/>
      <c r="I269" s="773"/>
    </row>
    <row r="270" spans="1:9" x14ac:dyDescent="0.3">
      <c r="A270" s="773"/>
      <c r="B270" s="773"/>
      <c r="C270" s="773"/>
      <c r="D270" s="773"/>
      <c r="E270" s="773"/>
      <c r="F270" s="773"/>
      <c r="G270" s="773"/>
      <c r="H270" s="773"/>
      <c r="I270" s="773"/>
    </row>
    <row r="271" spans="1:9" x14ac:dyDescent="0.3">
      <c r="A271" s="773"/>
      <c r="B271" s="773"/>
      <c r="C271" s="773"/>
      <c r="D271" s="773"/>
      <c r="E271" s="773"/>
      <c r="F271" s="773"/>
      <c r="G271" s="773"/>
      <c r="H271" s="773"/>
      <c r="I271" s="773"/>
    </row>
    <row r="272" spans="1:9" x14ac:dyDescent="0.3">
      <c r="A272" s="773"/>
      <c r="B272" s="773"/>
      <c r="C272" s="773"/>
      <c r="D272" s="773"/>
      <c r="E272" s="773"/>
      <c r="F272" s="773"/>
      <c r="G272" s="773"/>
      <c r="H272" s="773"/>
      <c r="I272" s="773"/>
    </row>
    <row r="273" spans="1:9" x14ac:dyDescent="0.3">
      <c r="A273" s="773"/>
      <c r="B273" s="773"/>
      <c r="C273" s="773"/>
      <c r="D273" s="773"/>
      <c r="E273" s="773"/>
      <c r="F273" s="773"/>
      <c r="G273" s="773"/>
      <c r="H273" s="773"/>
      <c r="I273" s="773"/>
    </row>
    <row r="274" spans="1:9" x14ac:dyDescent="0.3">
      <c r="A274" s="773"/>
      <c r="B274" s="773"/>
      <c r="C274" s="773"/>
      <c r="D274" s="773"/>
      <c r="E274" s="773"/>
      <c r="F274" s="773"/>
      <c r="G274" s="773"/>
      <c r="H274" s="773"/>
      <c r="I274" s="773"/>
    </row>
    <row r="275" spans="1:9" x14ac:dyDescent="0.3">
      <c r="A275" s="773"/>
      <c r="B275" s="773"/>
      <c r="C275" s="773"/>
      <c r="D275" s="773"/>
      <c r="E275" s="773"/>
      <c r="F275" s="773"/>
      <c r="G275" s="773"/>
      <c r="H275" s="773"/>
      <c r="I275" s="773"/>
    </row>
    <row r="276" spans="1:9" x14ac:dyDescent="0.3">
      <c r="A276" s="773"/>
      <c r="B276" s="773"/>
      <c r="C276" s="773"/>
      <c r="D276" s="773"/>
      <c r="E276" s="773"/>
      <c r="F276" s="773"/>
      <c r="G276" s="773"/>
      <c r="H276" s="773"/>
      <c r="I276" s="773"/>
    </row>
    <row r="277" spans="1:9" x14ac:dyDescent="0.3">
      <c r="A277" s="773"/>
      <c r="B277" s="773"/>
      <c r="C277" s="773"/>
      <c r="D277" s="773"/>
      <c r="E277" s="773"/>
      <c r="F277" s="773"/>
      <c r="G277" s="773"/>
      <c r="H277" s="773"/>
      <c r="I277" s="773"/>
    </row>
    <row r="278" spans="1:9" x14ac:dyDescent="0.3">
      <c r="A278" s="773"/>
      <c r="B278" s="773"/>
      <c r="C278" s="773"/>
      <c r="D278" s="773"/>
      <c r="E278" s="773"/>
      <c r="F278" s="773"/>
      <c r="G278" s="773"/>
      <c r="H278" s="773"/>
      <c r="I278" s="773"/>
    </row>
    <row r="279" spans="1:9" x14ac:dyDescent="0.3">
      <c r="A279" s="773"/>
      <c r="B279" s="773"/>
      <c r="C279" s="773"/>
      <c r="D279" s="773"/>
      <c r="E279" s="773"/>
      <c r="F279" s="773"/>
      <c r="G279" s="773"/>
      <c r="H279" s="773"/>
      <c r="I279" s="773"/>
    </row>
    <row r="280" spans="1:9" x14ac:dyDescent="0.3">
      <c r="A280" s="773"/>
      <c r="B280" s="773"/>
      <c r="C280" s="773"/>
      <c r="D280" s="773"/>
      <c r="E280" s="773"/>
      <c r="F280" s="773"/>
      <c r="G280" s="773"/>
      <c r="H280" s="773"/>
      <c r="I280" s="773"/>
    </row>
  </sheetData>
  <hyperlinks>
    <hyperlink ref="B4" location="SU_A0600" display="SU_A0600"/>
    <hyperlink ref="F2" location="SU_A0600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2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SU_06002_m+SU_06002_p</f>
        <v>1.5427786126391492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1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386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1.5427786126391492</v>
      </c>
      <c r="O5" s="276"/>
    </row>
    <row r="6" spans="1:15" x14ac:dyDescent="0.3">
      <c r="A6" s="778" t="s">
        <v>7</v>
      </c>
      <c r="B6" s="748" t="s">
        <v>411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59" t="s">
        <v>376</v>
      </c>
      <c r="D11" s="760">
        <v>2.25</v>
      </c>
      <c r="E11" s="761">
        <f>J11*K11*L11</f>
        <v>2.4168272284066282E-2</v>
      </c>
      <c r="F11" s="759" t="s">
        <v>212</v>
      </c>
      <c r="G11" s="759"/>
      <c r="H11" s="762"/>
      <c r="I11" s="763" t="s">
        <v>412</v>
      </c>
      <c r="J11" s="763">
        <f>PI()*(7*10^-3)^2</f>
        <v>1.5393804002589989E-4</v>
      </c>
      <c r="K11" s="764">
        <v>0.02</v>
      </c>
      <c r="L11" s="765">
        <v>7850</v>
      </c>
      <c r="M11" s="765">
        <v>1</v>
      </c>
      <c r="N11" s="760">
        <f>D11*E11*M11</f>
        <v>5.4378612639149136E-2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5.4378612639149136E-2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1.57</v>
      </c>
      <c r="G16" s="759" t="s">
        <v>413</v>
      </c>
      <c r="H16" s="759">
        <v>3</v>
      </c>
      <c r="I16" s="760">
        <f>D16*F16*H16</f>
        <v>0.18840000000000001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1.4883999999999999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x14ac:dyDescent="0.3">
      <c r="A21" s="722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18"/>
  <sheetViews>
    <sheetView zoomScale="70" zoomScaleNormal="70" workbookViewId="0">
      <selection activeCell="N4" sqref="N4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1.7628124999999999</v>
      </c>
      <c r="O5" s="62"/>
    </row>
    <row r="6" spans="1:16" x14ac:dyDescent="0.3">
      <c r="A6" s="102" t="s">
        <v>7</v>
      </c>
      <c r="B6" s="748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0.176625</v>
      </c>
      <c r="F11" s="20" t="s">
        <v>212</v>
      </c>
      <c r="G11" s="20"/>
      <c r="H11" s="290"/>
      <c r="I11" s="21" t="s">
        <v>417</v>
      </c>
      <c r="J11" s="786">
        <f>125*60*10^-6</f>
        <v>7.4999999999999997E-3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8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89" t="s">
        <v>420</v>
      </c>
      <c r="H15" s="759">
        <v>0.25</v>
      </c>
      <c r="I15" s="760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8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5.3</v>
      </c>
      <c r="G16" s="759" t="s">
        <v>413</v>
      </c>
      <c r="H16" s="759">
        <v>3</v>
      </c>
      <c r="I16" s="760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B1"/>
  <sheetViews>
    <sheetView zoomScaleNormal="100" workbookViewId="0">
      <selection activeCell="C7" sqref="C7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424</v>
      </c>
    </row>
  </sheetData>
  <hyperlinks>
    <hyperlink ref="B1" location="SU_06003" display="SU_06003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0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SU_06004_m+SU_06004_p</f>
        <v>2.2702062500000002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2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388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4.5404125000000004</v>
      </c>
      <c r="O5" s="276"/>
    </row>
    <row r="6" spans="1:15" x14ac:dyDescent="0.3">
      <c r="A6" s="778" t="s">
        <v>7</v>
      </c>
      <c r="B6" s="748" t="s">
        <v>425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81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90" t="s">
        <v>376</v>
      </c>
      <c r="D11" s="760">
        <v>2.25</v>
      </c>
      <c r="E11" s="761">
        <f>J11*K11*L11</f>
        <v>5.1024999999999994E-2</v>
      </c>
      <c r="F11" s="759" t="s">
        <v>212</v>
      </c>
      <c r="G11" s="759"/>
      <c r="H11" s="762"/>
      <c r="I11" s="763" t="s">
        <v>426</v>
      </c>
      <c r="J11" s="763">
        <f>50*26*10^-6</f>
        <v>1.2999999999999999E-3</v>
      </c>
      <c r="K11" s="764">
        <v>5.0000000000000001E-3</v>
      </c>
      <c r="L11" s="765">
        <v>7850</v>
      </c>
      <c r="M11" s="765">
        <v>1</v>
      </c>
      <c r="N11" s="760">
        <f>D11*E11*M11</f>
        <v>0.11480624999999998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0.11480624999999998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59" t="s">
        <v>420</v>
      </c>
      <c r="H15" s="759">
        <v>0.25</v>
      </c>
      <c r="I15" s="760">
        <f>D15*F15*H15</f>
        <v>0.32500000000000001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16</v>
      </c>
      <c r="G16" s="759" t="s">
        <v>413</v>
      </c>
      <c r="H16" s="759">
        <v>3</v>
      </c>
      <c r="I16" s="760">
        <f>D16*F16*H16</f>
        <v>0.48</v>
      </c>
      <c r="J16" s="748"/>
      <c r="K16" s="748"/>
      <c r="L16" s="748"/>
      <c r="M16" s="748"/>
      <c r="N16" s="748"/>
      <c r="O16" s="276"/>
    </row>
    <row r="17" spans="1:15" x14ac:dyDescent="0.3">
      <c r="A17" s="757">
        <v>30</v>
      </c>
      <c r="B17" s="759" t="s">
        <v>39</v>
      </c>
      <c r="C17" s="759"/>
      <c r="D17" s="760">
        <v>1.3</v>
      </c>
      <c r="E17" s="759" t="s">
        <v>35</v>
      </c>
      <c r="F17" s="759">
        <v>1</v>
      </c>
      <c r="G17" s="759"/>
      <c r="H17" s="759"/>
      <c r="I17" s="760">
        <v>1.3</v>
      </c>
      <c r="J17" s="767"/>
      <c r="K17" s="767"/>
      <c r="L17" s="767"/>
      <c r="M17" s="767"/>
      <c r="N17" s="767"/>
      <c r="O17" s="276"/>
    </row>
    <row r="18" spans="1:15" x14ac:dyDescent="0.3">
      <c r="A18" s="757">
        <v>40</v>
      </c>
      <c r="B18" s="759" t="s">
        <v>427</v>
      </c>
      <c r="C18" s="759" t="s">
        <v>409</v>
      </c>
      <c r="D18" s="760">
        <v>0.04</v>
      </c>
      <c r="E18" s="759" t="s">
        <v>161</v>
      </c>
      <c r="F18" s="759">
        <v>0.42</v>
      </c>
      <c r="G18" s="759" t="s">
        <v>413</v>
      </c>
      <c r="H18" s="759">
        <v>3</v>
      </c>
      <c r="I18" s="760">
        <f>D18*F18*H18</f>
        <v>5.04E-2</v>
      </c>
      <c r="J18" s="748"/>
      <c r="K18" s="748"/>
      <c r="L18" s="748"/>
      <c r="M18" s="748"/>
      <c r="N18" s="748"/>
      <c r="O18" s="276"/>
    </row>
    <row r="19" spans="1:15" x14ac:dyDescent="0.3">
      <c r="A19" s="766"/>
      <c r="B19" s="767"/>
      <c r="C19" s="767"/>
      <c r="D19" s="767"/>
      <c r="E19" s="767"/>
      <c r="F19" s="767"/>
      <c r="G19" s="767"/>
      <c r="H19" s="768" t="s">
        <v>18</v>
      </c>
      <c r="I19" s="770">
        <f>SUM(I15:I18)</f>
        <v>2.1554000000000002</v>
      </c>
      <c r="J19" s="56"/>
      <c r="K19" s="56"/>
      <c r="L19" s="56"/>
      <c r="M19" s="56"/>
      <c r="N19" s="56"/>
      <c r="O19" s="276"/>
    </row>
    <row r="20" spans="1:15" ht="15" thickBot="1" x14ac:dyDescent="0.35">
      <c r="A20" s="771"/>
      <c r="B20" s="772"/>
      <c r="C20" s="772"/>
      <c r="D20" s="772"/>
      <c r="E20" s="772"/>
      <c r="F20" s="772"/>
      <c r="G20" s="772"/>
      <c r="H20" s="791"/>
      <c r="I20" s="792"/>
      <c r="J20" s="297"/>
      <c r="K20" s="297"/>
      <c r="L20" s="297"/>
      <c r="M20" s="297"/>
      <c r="N20" s="297"/>
      <c r="O20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workbookViewId="0">
      <selection activeCell="P9" sqref="P9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53"/>
      <c r="B1" s="854"/>
      <c r="C1" s="854"/>
      <c r="D1" s="854"/>
      <c r="E1" s="854"/>
      <c r="F1" s="854"/>
      <c r="G1" s="854"/>
      <c r="H1" s="854"/>
      <c r="I1" s="854"/>
      <c r="J1" s="854"/>
      <c r="K1" s="854"/>
      <c r="L1" s="854"/>
      <c r="M1" s="854"/>
      <c r="N1" s="854"/>
      <c r="O1" s="855"/>
    </row>
    <row r="2" spans="1:15" x14ac:dyDescent="0.3">
      <c r="A2" s="720" t="s">
        <v>0</v>
      </c>
      <c r="B2" s="16" t="s">
        <v>37</v>
      </c>
      <c r="C2" s="57"/>
      <c r="D2" s="57"/>
      <c r="E2" s="856" t="s">
        <v>126</v>
      </c>
      <c r="F2" s="57"/>
      <c r="G2" s="57"/>
      <c r="H2" s="57"/>
      <c r="I2" s="57"/>
      <c r="J2" s="98" t="s">
        <v>1</v>
      </c>
      <c r="K2" s="83">
        <v>81</v>
      </c>
      <c r="L2" s="57"/>
      <c r="M2" s="98" t="s">
        <v>2</v>
      </c>
      <c r="N2" s="95">
        <f>SU_A0700_pa+SU_A0700_m+SU_A0700_p+SU_A0700_f+SU_A0700_t</f>
        <v>340.94452558086874</v>
      </c>
      <c r="O2" s="740"/>
    </row>
    <row r="3" spans="1:15" x14ac:dyDescent="0.3">
      <c r="A3" s="720" t="s">
        <v>3</v>
      </c>
      <c r="B3" s="16" t="s">
        <v>129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8" t="s">
        <v>4</v>
      </c>
      <c r="N3" s="82">
        <v>2</v>
      </c>
      <c r="O3" s="740"/>
    </row>
    <row r="4" spans="1:15" x14ac:dyDescent="0.3">
      <c r="A4" s="720" t="s">
        <v>5</v>
      </c>
      <c r="B4" s="57" t="s">
        <v>428</v>
      </c>
      <c r="C4" s="57"/>
      <c r="D4" s="57"/>
      <c r="E4" s="57"/>
      <c r="F4" s="57"/>
      <c r="G4" s="57"/>
      <c r="H4" s="57"/>
      <c r="I4" s="57"/>
      <c r="J4" s="99" t="s">
        <v>6</v>
      </c>
      <c r="K4" s="57"/>
      <c r="L4" s="57"/>
      <c r="M4" s="57"/>
      <c r="N4" s="57"/>
      <c r="O4" s="740"/>
    </row>
    <row r="5" spans="1:15" x14ac:dyDescent="0.3">
      <c r="A5" s="720" t="s">
        <v>7</v>
      </c>
      <c r="B5" s="18" t="s">
        <v>429</v>
      </c>
      <c r="C5" s="57"/>
      <c r="D5" s="57"/>
      <c r="E5" s="57"/>
      <c r="F5" s="57"/>
      <c r="G5" s="57"/>
      <c r="H5" s="57"/>
      <c r="I5" s="57"/>
      <c r="J5" s="99" t="s">
        <v>8</v>
      </c>
      <c r="K5" s="57"/>
      <c r="L5" s="57"/>
      <c r="M5" s="98" t="s">
        <v>9</v>
      </c>
      <c r="N5" s="74">
        <f>N2*N3</f>
        <v>681.88905116173748</v>
      </c>
      <c r="O5" s="740"/>
    </row>
    <row r="6" spans="1:15" x14ac:dyDescent="0.3">
      <c r="A6" s="720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9" t="s">
        <v>12</v>
      </c>
      <c r="K6" s="57"/>
      <c r="L6" s="57"/>
      <c r="M6" s="57"/>
      <c r="N6" s="57"/>
      <c r="O6" s="740"/>
    </row>
    <row r="7" spans="1:15" x14ac:dyDescent="0.3">
      <c r="A7" s="720" t="s">
        <v>13</v>
      </c>
      <c r="B7" s="857" t="s">
        <v>430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40"/>
    </row>
    <row r="8" spans="1:15" x14ac:dyDescent="0.3">
      <c r="A8" s="858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40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40"/>
    </row>
    <row r="10" spans="1:15" x14ac:dyDescent="0.3">
      <c r="A10" s="793">
        <v>10</v>
      </c>
      <c r="B10" s="472" t="s">
        <v>431</v>
      </c>
      <c r="C10" s="585">
        <f>'SU 07001'!N2</f>
        <v>5.9234014172552163</v>
      </c>
      <c r="D10" s="651">
        <f>SU_07001_q</f>
        <v>1</v>
      </c>
      <c r="E10" s="585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40"/>
    </row>
    <row r="11" spans="1:15" x14ac:dyDescent="0.3">
      <c r="A11" s="858"/>
      <c r="B11" s="57"/>
      <c r="C11" s="57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40"/>
    </row>
    <row r="12" spans="1:15" x14ac:dyDescent="0.3">
      <c r="A12" s="858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40"/>
    </row>
    <row r="13" spans="1:15" x14ac:dyDescent="0.3">
      <c r="A13" s="723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740"/>
    </row>
    <row r="14" spans="1:15" x14ac:dyDescent="0.3">
      <c r="A14" s="793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740"/>
    </row>
    <row r="15" spans="1:15" s="22" customFormat="1" x14ac:dyDescent="0.3">
      <c r="A15" s="793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859"/>
      <c r="M15" s="588">
        <v>1</v>
      </c>
      <c r="N15" s="585">
        <f>D15*M15</f>
        <v>25</v>
      </c>
      <c r="O15" s="860"/>
    </row>
    <row r="16" spans="1:15" x14ac:dyDescent="0.3">
      <c r="A16" s="861">
        <v>30</v>
      </c>
      <c r="B16" s="862" t="s">
        <v>349</v>
      </c>
      <c r="C16" s="863"/>
      <c r="D16" s="585">
        <v>0</v>
      </c>
      <c r="E16" s="863"/>
      <c r="F16" s="863" t="s">
        <v>35</v>
      </c>
      <c r="G16" s="863"/>
      <c r="H16" s="863"/>
      <c r="I16" s="863"/>
      <c r="J16" s="863"/>
      <c r="K16" s="863"/>
      <c r="L16" s="863"/>
      <c r="M16" s="863">
        <v>2</v>
      </c>
      <c r="N16" s="585">
        <f>D16*M16</f>
        <v>0</v>
      </c>
      <c r="O16" s="740"/>
    </row>
    <row r="17" spans="1:15" x14ac:dyDescent="0.3">
      <c r="A17" s="861">
        <v>40</v>
      </c>
      <c r="B17" s="862" t="s">
        <v>350</v>
      </c>
      <c r="C17" s="863" t="s">
        <v>432</v>
      </c>
      <c r="D17" s="585">
        <v>10</v>
      </c>
      <c r="E17" s="863">
        <v>4.0000000000000001E-3</v>
      </c>
      <c r="F17" s="863" t="s">
        <v>276</v>
      </c>
      <c r="G17" s="863"/>
      <c r="H17" s="863"/>
      <c r="I17" s="863"/>
      <c r="J17" s="863"/>
      <c r="K17" s="863"/>
      <c r="L17" s="863"/>
      <c r="M17" s="863">
        <v>1</v>
      </c>
      <c r="N17" s="585">
        <f>D17*E17*M17</f>
        <v>0.04</v>
      </c>
      <c r="O17" s="740"/>
    </row>
    <row r="18" spans="1:15" x14ac:dyDescent="0.3">
      <c r="A18" s="736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740"/>
    </row>
    <row r="19" spans="1:15" x14ac:dyDescent="0.3">
      <c r="A19" s="858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40"/>
    </row>
    <row r="20" spans="1:15" s="25" customFormat="1" x14ac:dyDescent="0.3">
      <c r="A20" s="720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864"/>
    </row>
    <row r="21" spans="1:15" s="25" customFormat="1" x14ac:dyDescent="0.3">
      <c r="A21" s="865">
        <v>10</v>
      </c>
      <c r="B21" s="866" t="s">
        <v>352</v>
      </c>
      <c r="C21" s="867" t="s">
        <v>433</v>
      </c>
      <c r="D21" s="867">
        <v>0.38</v>
      </c>
      <c r="E21" s="867" t="s">
        <v>40</v>
      </c>
      <c r="F21" s="867">
        <f>2*1.7</f>
        <v>3.4</v>
      </c>
      <c r="G21" s="867"/>
      <c r="H21" s="867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64"/>
    </row>
    <row r="22" spans="1:15" s="25" customFormat="1" x14ac:dyDescent="0.3">
      <c r="A22" s="868">
        <v>20</v>
      </c>
      <c r="B22" s="869" t="s">
        <v>354</v>
      </c>
      <c r="C22" s="869" t="s">
        <v>434</v>
      </c>
      <c r="D22" s="259">
        <v>5.25</v>
      </c>
      <c r="E22" s="870" t="s">
        <v>276</v>
      </c>
      <c r="F22" s="870">
        <v>4.0000000000000001E-3</v>
      </c>
      <c r="G22" s="867"/>
      <c r="H22" s="867"/>
      <c r="I22" s="74">
        <f t="shared" si="0"/>
        <v>2.1000000000000001E-2</v>
      </c>
      <c r="J22" s="24"/>
      <c r="K22" s="24"/>
      <c r="L22" s="24"/>
      <c r="M22" s="24"/>
      <c r="N22" s="24"/>
      <c r="O22" s="864"/>
    </row>
    <row r="23" spans="1:15" x14ac:dyDescent="0.3">
      <c r="A23" s="731">
        <v>30</v>
      </c>
      <c r="B23" s="866" t="s">
        <v>356</v>
      </c>
      <c r="C23" s="72" t="s">
        <v>357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40"/>
    </row>
    <row r="24" spans="1:15" x14ac:dyDescent="0.3">
      <c r="A24" s="741">
        <v>40</v>
      </c>
      <c r="B24" s="871" t="s">
        <v>358</v>
      </c>
      <c r="C24" s="238" t="s">
        <v>359</v>
      </c>
      <c r="D24" s="240">
        <v>2</v>
      </c>
      <c r="E24" s="872" t="s">
        <v>35</v>
      </c>
      <c r="F24" s="238">
        <v>2</v>
      </c>
      <c r="G24" s="238"/>
      <c r="H24" s="238"/>
      <c r="I24" s="240">
        <f t="shared" si="0"/>
        <v>4</v>
      </c>
      <c r="J24" s="57"/>
      <c r="K24" s="57"/>
      <c r="L24" s="57"/>
      <c r="M24" s="57"/>
      <c r="N24" s="57"/>
      <c r="O24" s="740"/>
    </row>
    <row r="25" spans="1:15" x14ac:dyDescent="0.3">
      <c r="A25" s="724">
        <v>50</v>
      </c>
      <c r="B25" s="873" t="s">
        <v>360</v>
      </c>
      <c r="C25" s="873" t="s">
        <v>361</v>
      </c>
      <c r="D25" s="289">
        <v>0.06</v>
      </c>
      <c r="E25" s="688" t="s">
        <v>35</v>
      </c>
      <c r="F25" s="688">
        <v>2</v>
      </c>
      <c r="G25" s="688"/>
      <c r="H25" s="688"/>
      <c r="I25" s="289">
        <f t="shared" si="0"/>
        <v>0.12</v>
      </c>
      <c r="J25" s="57"/>
      <c r="K25" s="57"/>
      <c r="L25" s="57"/>
      <c r="M25" s="57"/>
      <c r="N25" s="57"/>
      <c r="O25" s="740"/>
    </row>
    <row r="26" spans="1:15" s="17" customFormat="1" x14ac:dyDescent="0.3">
      <c r="A26" s="724">
        <v>60</v>
      </c>
      <c r="B26" s="873" t="s">
        <v>360</v>
      </c>
      <c r="C26" s="873" t="s">
        <v>362</v>
      </c>
      <c r="D26" s="289">
        <v>0.06</v>
      </c>
      <c r="E26" s="688" t="s">
        <v>35</v>
      </c>
      <c r="F26" s="688">
        <v>2</v>
      </c>
      <c r="G26" s="688"/>
      <c r="H26" s="688"/>
      <c r="I26" s="289">
        <f t="shared" si="0"/>
        <v>0.12</v>
      </c>
      <c r="J26" s="57"/>
      <c r="K26" s="57"/>
      <c r="L26" s="57"/>
      <c r="M26" s="57"/>
      <c r="N26" s="57"/>
      <c r="O26" s="740"/>
    </row>
    <row r="27" spans="1:15" s="25" customFormat="1" x14ac:dyDescent="0.3">
      <c r="A27" s="724">
        <v>70</v>
      </c>
      <c r="B27" s="255" t="s">
        <v>363</v>
      </c>
      <c r="C27" s="873" t="s">
        <v>435</v>
      </c>
      <c r="D27" s="289">
        <v>0.12</v>
      </c>
      <c r="E27" s="688" t="s">
        <v>35</v>
      </c>
      <c r="F27" s="688">
        <v>2</v>
      </c>
      <c r="G27" s="688"/>
      <c r="H27" s="688"/>
      <c r="I27" s="289">
        <f t="shared" si="0"/>
        <v>0.24</v>
      </c>
      <c r="J27" s="57"/>
      <c r="K27" s="57"/>
      <c r="L27" s="57"/>
      <c r="M27" s="57"/>
      <c r="N27" s="57"/>
      <c r="O27" s="864"/>
    </row>
    <row r="28" spans="1:15" s="25" customFormat="1" x14ac:dyDescent="0.3">
      <c r="A28" s="724">
        <v>80</v>
      </c>
      <c r="B28" s="255" t="s">
        <v>363</v>
      </c>
      <c r="C28" s="873" t="s">
        <v>365</v>
      </c>
      <c r="D28" s="289">
        <v>0.12</v>
      </c>
      <c r="E28" s="688" t="s">
        <v>35</v>
      </c>
      <c r="F28" s="688">
        <v>2</v>
      </c>
      <c r="G28" s="688"/>
      <c r="H28" s="688"/>
      <c r="I28" s="289">
        <f t="shared" si="0"/>
        <v>0.24</v>
      </c>
      <c r="J28" s="57"/>
      <c r="K28" s="57"/>
      <c r="L28" s="57"/>
      <c r="M28" s="57"/>
      <c r="N28" s="57"/>
      <c r="O28" s="864"/>
    </row>
    <row r="29" spans="1:15" s="17" customFormat="1" x14ac:dyDescent="0.3">
      <c r="A29" s="724">
        <v>90</v>
      </c>
      <c r="B29" s="255" t="s">
        <v>366</v>
      </c>
      <c r="C29" s="873" t="s">
        <v>367</v>
      </c>
      <c r="D29" s="289">
        <v>0.75</v>
      </c>
      <c r="E29" s="874" t="s">
        <v>35</v>
      </c>
      <c r="F29" s="688">
        <v>2</v>
      </c>
      <c r="G29" s="688"/>
      <c r="H29" s="688"/>
      <c r="I29" s="289">
        <f t="shared" si="0"/>
        <v>1.5</v>
      </c>
      <c r="J29" s="57"/>
      <c r="K29" s="57"/>
      <c r="L29" s="57"/>
      <c r="M29" s="57"/>
      <c r="N29" s="57"/>
      <c r="O29" s="740"/>
    </row>
    <row r="30" spans="1:15" s="17" customFormat="1" x14ac:dyDescent="0.3">
      <c r="A30" s="724">
        <v>100</v>
      </c>
      <c r="B30" s="255" t="s">
        <v>368</v>
      </c>
      <c r="C30" s="873" t="s">
        <v>367</v>
      </c>
      <c r="D30" s="289">
        <v>0.25</v>
      </c>
      <c r="E30" s="874" t="s">
        <v>35</v>
      </c>
      <c r="F30" s="688">
        <v>2</v>
      </c>
      <c r="G30" s="688"/>
      <c r="H30" s="688"/>
      <c r="I30" s="289">
        <f t="shared" si="0"/>
        <v>0.5</v>
      </c>
      <c r="J30" s="57"/>
      <c r="K30" s="57"/>
      <c r="L30" s="57"/>
      <c r="M30" s="57"/>
      <c r="N30" s="57"/>
      <c r="O30" s="740"/>
    </row>
    <row r="31" spans="1:15" x14ac:dyDescent="0.3">
      <c r="A31" s="736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7"/>
      <c r="K31" s="57"/>
      <c r="L31" s="57"/>
      <c r="M31" s="57"/>
      <c r="N31" s="57"/>
      <c r="O31" s="740"/>
    </row>
    <row r="32" spans="1:15" x14ac:dyDescent="0.3">
      <c r="A32" s="858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40"/>
    </row>
    <row r="33" spans="1:15" x14ac:dyDescent="0.3">
      <c r="A33" s="720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7"/>
      <c r="L33" s="57"/>
      <c r="M33" s="57"/>
      <c r="N33" s="57"/>
      <c r="O33" s="740"/>
    </row>
    <row r="34" spans="1:15" x14ac:dyDescent="0.3">
      <c r="A34" s="731">
        <v>10</v>
      </c>
      <c r="B34" s="72" t="s">
        <v>369</v>
      </c>
      <c r="C34" s="72" t="s">
        <v>436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40"/>
    </row>
    <row r="35" spans="1:15" x14ac:dyDescent="0.3">
      <c r="A35" s="731">
        <v>20</v>
      </c>
      <c r="B35" s="72" t="s">
        <v>371</v>
      </c>
      <c r="C35" s="72" t="s">
        <v>436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40"/>
    </row>
    <row r="36" spans="1:15" x14ac:dyDescent="0.3">
      <c r="A36" s="731">
        <v>30</v>
      </c>
      <c r="B36" s="72" t="s">
        <v>372</v>
      </c>
      <c r="C36" s="72" t="s">
        <v>436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40"/>
    </row>
    <row r="37" spans="1:15" x14ac:dyDescent="0.3">
      <c r="A37" s="736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7"/>
      <c r="L37" s="57"/>
      <c r="M37" s="57"/>
      <c r="N37" s="57"/>
      <c r="O37" s="740"/>
    </row>
    <row r="38" spans="1:15" x14ac:dyDescent="0.3">
      <c r="A38" s="858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40"/>
    </row>
    <row r="39" spans="1:15" x14ac:dyDescent="0.3">
      <c r="A39" s="720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7"/>
      <c r="L39" s="57"/>
      <c r="M39" s="57"/>
      <c r="N39" s="57"/>
      <c r="O39" s="740"/>
    </row>
    <row r="40" spans="1:15" x14ac:dyDescent="0.3">
      <c r="A40" s="731">
        <v>10</v>
      </c>
      <c r="B40" s="72" t="s">
        <v>253</v>
      </c>
      <c r="C40" s="875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40"/>
    </row>
    <row r="41" spans="1:15" x14ac:dyDescent="0.3">
      <c r="A41" s="736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7"/>
      <c r="L41" s="57"/>
      <c r="M41" s="57"/>
      <c r="N41" s="57"/>
      <c r="O41" s="740"/>
    </row>
    <row r="42" spans="1:15" ht="15" thickBot="1" x14ac:dyDescent="0.35">
      <c r="A42" s="876"/>
      <c r="B42" s="877"/>
      <c r="C42" s="877"/>
      <c r="D42" s="877"/>
      <c r="E42" s="877"/>
      <c r="F42" s="877"/>
      <c r="G42" s="877"/>
      <c r="H42" s="877"/>
      <c r="I42" s="877"/>
      <c r="J42" s="877"/>
      <c r="K42" s="877"/>
      <c r="L42" s="877"/>
      <c r="M42" s="877"/>
      <c r="N42" s="877"/>
      <c r="O42" s="878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80"/>
      <c r="D46" s="680"/>
      <c r="E46" s="56"/>
      <c r="F46" s="56"/>
    </row>
    <row r="47" spans="1:15" x14ac:dyDescent="0.3">
      <c r="B47" s="56"/>
      <c r="C47" s="680"/>
      <c r="D47" s="680"/>
      <c r="E47" s="56"/>
      <c r="F47" s="56"/>
    </row>
    <row r="48" spans="1:15" x14ac:dyDescent="0.3">
      <c r="B48" s="56"/>
      <c r="C48" s="681"/>
      <c r="D48" s="680"/>
      <c r="E48" s="56"/>
      <c r="F48" s="56"/>
    </row>
    <row r="49" spans="2:6" x14ac:dyDescent="0.3">
      <c r="B49" s="56"/>
      <c r="C49" s="681"/>
      <c r="D49" s="680"/>
      <c r="E49" s="56"/>
      <c r="F49" s="56"/>
    </row>
    <row r="50" spans="2:6" x14ac:dyDescent="0.3">
      <c r="B50" s="56"/>
      <c r="C50" s="681"/>
      <c r="D50" s="680"/>
      <c r="E50" s="56"/>
      <c r="F50" s="56"/>
    </row>
    <row r="51" spans="2:6" x14ac:dyDescent="0.3">
      <c r="B51" s="56"/>
      <c r="C51" s="681"/>
      <c r="D51" s="680"/>
      <c r="E51" s="56"/>
      <c r="F51" s="56"/>
    </row>
    <row r="52" spans="2:6" x14ac:dyDescent="0.3">
      <c r="B52" s="56"/>
      <c r="C52" s="681"/>
      <c r="D52" s="680"/>
      <c r="E52" s="56"/>
      <c r="F52" s="56"/>
    </row>
  </sheetData>
  <hyperlinks>
    <hyperlink ref="B10" location="SU_07001" display="Shock Rear Bracket"/>
    <hyperlink ref="E2" location="SU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B4" sqref="B4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x14ac:dyDescent="0.3">
      <c r="A15" s="795">
        <v>10</v>
      </c>
      <c r="B15" s="694" t="s">
        <v>39</v>
      </c>
      <c r="C15" s="693" t="s">
        <v>134</v>
      </c>
      <c r="D15" s="289">
        <v>1.3</v>
      </c>
      <c r="E15" s="694" t="s">
        <v>35</v>
      </c>
      <c r="F15" s="693">
        <v>1</v>
      </c>
      <c r="G15" s="693"/>
      <c r="H15" s="693"/>
      <c r="I15" s="289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94" t="s">
        <v>159</v>
      </c>
      <c r="C16" s="20" t="s">
        <v>378</v>
      </c>
      <c r="D16" s="289">
        <v>0.04</v>
      </c>
      <c r="E16" s="20" t="s">
        <v>161</v>
      </c>
      <c r="F16" s="796">
        <v>2.64</v>
      </c>
      <c r="G16" s="694" t="s">
        <v>379</v>
      </c>
      <c r="H16" s="693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95">
        <v>20</v>
      </c>
      <c r="B17" s="694" t="s">
        <v>380</v>
      </c>
      <c r="C17" s="693"/>
      <c r="D17" s="289">
        <v>0.65</v>
      </c>
      <c r="E17" s="694"/>
      <c r="F17" s="693">
        <v>1</v>
      </c>
      <c r="G17" s="693"/>
      <c r="H17" s="693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94" t="s">
        <v>159</v>
      </c>
      <c r="C18" s="20" t="s">
        <v>378</v>
      </c>
      <c r="D18" s="289">
        <v>0.04</v>
      </c>
      <c r="E18" s="20" t="s">
        <v>161</v>
      </c>
      <c r="F18" s="796">
        <v>9.1999999999999993</v>
      </c>
      <c r="G18" s="694" t="s">
        <v>379</v>
      </c>
      <c r="H18" s="693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95">
        <v>22</v>
      </c>
      <c r="B19" s="694" t="s">
        <v>380</v>
      </c>
      <c r="C19" s="693"/>
      <c r="D19" s="289">
        <v>0.65</v>
      </c>
      <c r="E19" s="694"/>
      <c r="F19" s="693">
        <v>1</v>
      </c>
      <c r="G19" s="693"/>
      <c r="H19" s="693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94" t="s">
        <v>159</v>
      </c>
      <c r="C20" s="20" t="s">
        <v>378</v>
      </c>
      <c r="D20" s="289">
        <v>0.04</v>
      </c>
      <c r="E20" s="20" t="s">
        <v>161</v>
      </c>
      <c r="F20" s="796">
        <v>6.8</v>
      </c>
      <c r="G20" s="694" t="s">
        <v>379</v>
      </c>
      <c r="H20" s="693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95" t="s">
        <v>381</v>
      </c>
      <c r="C21" s="20" t="s">
        <v>378</v>
      </c>
      <c r="D21" s="289">
        <v>0.35</v>
      </c>
      <c r="E21" s="20" t="s">
        <v>271</v>
      </c>
      <c r="F21" s="796">
        <v>2</v>
      </c>
      <c r="G21" s="694"/>
      <c r="H21" s="797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439</v>
      </c>
    </row>
  </sheetData>
  <hyperlinks>
    <hyperlink ref="B1" location="SU_07001" display="SU_07001"/>
  </hyperlinks>
  <pageMargins left="0.7" right="0.7" top="0.75" bottom="0.75" header="0.3" footer="0.3"/>
  <pageSetup paperSize="9" fitToHeight="0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SU_A0800_pa+SU_A0800_m+SU_A0800_p+SU_A0800_f+SU_A0800_t</f>
        <v>15.066700055803517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442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443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N2*SU_A0800_q</f>
        <v>30.133400111607035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444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385</v>
      </c>
      <c r="C10" s="289">
        <f>'SU 08001'!N2</f>
        <v>1.3710986506763019</v>
      </c>
      <c r="D10" s="851">
        <f>SU_08001_q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8" t="s">
        <v>387</v>
      </c>
      <c r="C11" s="289">
        <f>'SU 08002'!N2</f>
        <v>2.0644187499999997</v>
      </c>
      <c r="D11" s="851">
        <f>SU_08002_q</f>
        <v>2</v>
      </c>
      <c r="E11" s="289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9">
        <v>30</v>
      </c>
      <c r="B12" s="725" t="s">
        <v>441</v>
      </c>
      <c r="C12" s="289">
        <f>'SU 08003'!N2</f>
        <v>3.3779399999999997</v>
      </c>
      <c r="D12" s="851">
        <f>SU_08003_q</f>
        <v>1</v>
      </c>
      <c r="E12" s="289">
        <f>C12*D12</f>
        <v>3.3779399999999997</v>
      </c>
    </row>
    <row r="13" spans="1:15" x14ac:dyDescent="0.3">
      <c r="A13" s="63"/>
      <c r="B13" s="56"/>
      <c r="C13" s="56"/>
      <c r="D13" s="265" t="s">
        <v>18</v>
      </c>
      <c r="E13" s="24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8" t="s">
        <v>14</v>
      </c>
      <c r="B15" s="98" t="s">
        <v>19</v>
      </c>
      <c r="C15" s="98" t="s">
        <v>20</v>
      </c>
      <c r="D15" s="98" t="s">
        <v>21</v>
      </c>
      <c r="E15" s="98" t="s">
        <v>22</v>
      </c>
      <c r="F15" s="98" t="s">
        <v>23</v>
      </c>
      <c r="G15" s="98" t="s">
        <v>24</v>
      </c>
      <c r="H15" s="98" t="s">
        <v>25</v>
      </c>
      <c r="I15" s="98" t="s">
        <v>26</v>
      </c>
      <c r="J15" s="98" t="s">
        <v>27</v>
      </c>
      <c r="K15" s="98" t="s">
        <v>28</v>
      </c>
      <c r="L15" s="98" t="s">
        <v>29</v>
      </c>
      <c r="M15" s="98" t="s">
        <v>17</v>
      </c>
      <c r="N15" s="98" t="s">
        <v>18</v>
      </c>
      <c r="O15" s="62"/>
    </row>
    <row r="16" spans="1:15" x14ac:dyDescent="0.3">
      <c r="A16" s="72">
        <v>10</v>
      </c>
      <c r="B16" s="72" t="s">
        <v>350</v>
      </c>
      <c r="C16" s="72" t="s">
        <v>392</v>
      </c>
      <c r="D16" s="74">
        <v>10</v>
      </c>
      <c r="E16" s="72">
        <v>5.0000000000000001E-3</v>
      </c>
      <c r="F16" s="72" t="s">
        <v>276</v>
      </c>
      <c r="G16" s="72"/>
      <c r="H16" s="75"/>
      <c r="I16" s="76"/>
      <c r="J16" s="77"/>
      <c r="K16" s="75"/>
      <c r="L16" s="75"/>
      <c r="M16" s="852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350</v>
      </c>
      <c r="C17" s="732" t="s">
        <v>393</v>
      </c>
      <c r="D17" s="74">
        <v>10</v>
      </c>
      <c r="E17" s="733">
        <v>5.0000000000000001E-3</v>
      </c>
      <c r="F17" s="733" t="s">
        <v>276</v>
      </c>
      <c r="G17" s="733"/>
      <c r="H17" s="75"/>
      <c r="I17" s="734"/>
      <c r="J17" s="97"/>
      <c r="K17" s="78"/>
      <c r="L17" s="79"/>
      <c r="M17" s="852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8" t="s">
        <v>18</v>
      </c>
      <c r="N18" s="100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231</v>
      </c>
      <c r="C21" s="72" t="s">
        <v>394</v>
      </c>
      <c r="D21" s="74">
        <v>0.15</v>
      </c>
      <c r="E21" s="72" t="s">
        <v>40</v>
      </c>
      <c r="F21" s="738">
        <f>11.5*2</f>
        <v>23</v>
      </c>
      <c r="G21" s="738"/>
      <c r="H21" s="738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9" t="s">
        <v>354</v>
      </c>
      <c r="C22" s="72" t="s">
        <v>395</v>
      </c>
      <c r="D22" s="74">
        <v>5.25</v>
      </c>
      <c r="E22" s="739" t="s">
        <v>276</v>
      </c>
      <c r="F22" s="738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9" t="s">
        <v>354</v>
      </c>
      <c r="C23" s="72" t="s">
        <v>396</v>
      </c>
      <c r="D23" s="74">
        <v>5.25</v>
      </c>
      <c r="E23" s="72" t="s">
        <v>276</v>
      </c>
      <c r="F23" s="738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9" t="s">
        <v>225</v>
      </c>
      <c r="C24" s="72" t="s">
        <v>445</v>
      </c>
      <c r="D24" s="74">
        <v>0.06</v>
      </c>
      <c r="E24" s="72" t="s">
        <v>35</v>
      </c>
      <c r="F24" s="738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9" t="s">
        <v>225</v>
      </c>
      <c r="C25" s="72" t="s">
        <v>446</v>
      </c>
      <c r="D25" s="74">
        <v>0.06</v>
      </c>
      <c r="E25" s="72" t="s">
        <v>35</v>
      </c>
      <c r="F25" s="738">
        <v>2</v>
      </c>
      <c r="G25" s="738"/>
      <c r="H25" s="738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v>60</v>
      </c>
      <c r="B26" s="742" t="s">
        <v>225</v>
      </c>
      <c r="C26" s="742" t="s">
        <v>399</v>
      </c>
      <c r="D26" s="74">
        <v>0.06</v>
      </c>
      <c r="E26" s="742" t="s">
        <v>35</v>
      </c>
      <c r="F26" s="743">
        <v>2</v>
      </c>
      <c r="G26" s="23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88">
        <v>70</v>
      </c>
      <c r="B27" s="744" t="s">
        <v>363</v>
      </c>
      <c r="C27" s="800" t="s">
        <v>400</v>
      </c>
      <c r="D27" s="289">
        <v>0.12</v>
      </c>
      <c r="E27" s="27" t="s">
        <v>35</v>
      </c>
      <c r="F27" s="26">
        <v>1</v>
      </c>
      <c r="G27" s="688"/>
      <c r="H27" s="745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88">
        <v>80</v>
      </c>
      <c r="B28" s="744" t="s">
        <v>363</v>
      </c>
      <c r="C28" s="801" t="s">
        <v>401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88">
        <v>90</v>
      </c>
      <c r="B29" s="744" t="s">
        <v>366</v>
      </c>
      <c r="C29" s="801" t="s">
        <v>367</v>
      </c>
      <c r="D29" s="289">
        <v>0.75</v>
      </c>
      <c r="E29" s="27" t="s">
        <v>35</v>
      </c>
      <c r="F29" s="26">
        <v>1</v>
      </c>
      <c r="G29" s="688"/>
      <c r="H29" s="745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88">
        <v>100</v>
      </c>
      <c r="B30" s="744" t="s">
        <v>368</v>
      </c>
      <c r="C30" s="801" t="s">
        <v>367</v>
      </c>
      <c r="D30" s="289">
        <v>0.25</v>
      </c>
      <c r="E30" s="27" t="s">
        <v>35</v>
      </c>
      <c r="F30" s="26">
        <v>1</v>
      </c>
      <c r="G30" s="688"/>
      <c r="H30" s="745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101" t="s">
        <v>18</v>
      </c>
      <c r="I31" s="100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402</v>
      </c>
      <c r="D34" s="676">
        <f>0.8/105154*E34^2*G34*SQRT(G34)+0.003*EXP(0.319*E34)</f>
        <v>6.5344202146287819E-2</v>
      </c>
      <c r="E34" s="677">
        <v>6</v>
      </c>
      <c r="F34" s="677" t="s">
        <v>30</v>
      </c>
      <c r="G34" s="677">
        <v>30</v>
      </c>
      <c r="H34" s="677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402</v>
      </c>
      <c r="D35" s="676">
        <v>0.01</v>
      </c>
      <c r="E35" s="72"/>
      <c r="F35" s="678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402</v>
      </c>
      <c r="D36" s="676">
        <f>0.009*EXP(0.2*E36)</f>
        <v>2.9881052304628931E-2</v>
      </c>
      <c r="E36" s="72">
        <v>6</v>
      </c>
      <c r="F36" s="678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72" t="s">
        <v>403</v>
      </c>
      <c r="D40" s="74">
        <v>500</v>
      </c>
      <c r="E40" s="72" t="s">
        <v>255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131</vt:i4>
      </vt:variant>
      <vt:variant>
        <vt:lpstr>Plages nommées</vt:lpstr>
      </vt:variant>
      <vt:variant>
        <vt:i4>399</vt:i4>
      </vt:variant>
    </vt:vector>
  </HeadingPairs>
  <TitlesOfParts>
    <vt:vector size="530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2018-05-04T12:32:20Z</dcterms:modified>
  <dc:language>fr-FR</dc:language>
</cp:coreProperties>
</file>